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Z19" i="1" l="1"/>
  <c r="AD16" i="1" l="1"/>
  <c r="AD17" i="1"/>
  <c r="AD18" i="1"/>
  <c r="AA82" i="1"/>
  <c r="AA83" i="1"/>
  <c r="AA84" i="1"/>
  <c r="AA85" i="1"/>
  <c r="AA86" i="1"/>
  <c r="AA87" i="1"/>
  <c r="AA88" i="1"/>
  <c r="AA89" i="1"/>
  <c r="AA90" i="1"/>
  <c r="AA91" i="1"/>
  <c r="AA92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16" i="1"/>
  <c r="AA17" i="1"/>
  <c r="AA18" i="1"/>
  <c r="AA19" i="1"/>
  <c r="AA20" i="1"/>
  <c r="AA21" i="1"/>
  <c r="AA22" i="1"/>
  <c r="AA23" i="1"/>
  <c r="AA24" i="1"/>
  <c r="AA25" i="1"/>
  <c r="AA15" i="1"/>
  <c r="Z30" i="1"/>
  <c r="Z70" i="1"/>
  <c r="Z72" i="1"/>
  <c r="Z47" i="1"/>
  <c r="Z45" i="1"/>
  <c r="Z28" i="1"/>
  <c r="Z53" i="1"/>
  <c r="Z49" i="1"/>
  <c r="Z38" i="1"/>
  <c r="Z21" i="1"/>
  <c r="Z75" i="1"/>
  <c r="Z57" i="1"/>
  <c r="Z32" i="1"/>
  <c r="Z54" i="1"/>
  <c r="Z37" i="1"/>
  <c r="Z52" i="1" l="1"/>
  <c r="Z43" i="1"/>
  <c r="Z29" i="1"/>
  <c r="Z88" i="1"/>
  <c r="Z87" i="1" s="1"/>
  <c r="Z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3" i="1"/>
  <c r="Z82" i="1" s="1"/>
  <c r="Z78" i="1" s="1"/>
  <c r="Z80" i="1"/>
  <c r="Z79" i="1"/>
  <c r="Z18" i="1"/>
  <c r="Z26" i="1"/>
  <c r="Z35" i="1"/>
  <c r="Z17" i="1" s="1"/>
  <c r="Z40" i="1"/>
  <c r="Z39" i="1" s="1"/>
  <c r="Z51" i="1"/>
  <c r="Z56" i="1"/>
  <c r="Z60" i="1"/>
  <c r="Z59" i="1" s="1"/>
  <c r="Z64" i="1"/>
  <c r="Z67" i="1"/>
  <c r="Z66" i="1" s="1"/>
  <c r="Z50" i="1" l="1"/>
  <c r="Z16" i="1"/>
  <c r="Z15" i="1" s="1"/>
  <c r="AD23" i="1"/>
  <c r="AB78" i="1"/>
  <c r="AC78" i="1" s="1"/>
  <c r="AB79" i="1"/>
  <c r="AC79" i="1" s="1"/>
  <c r="AB80" i="1"/>
  <c r="AC80" i="1" s="1"/>
  <c r="AB82" i="1"/>
  <c r="AC82" i="1" s="1"/>
  <c r="AB83" i="1"/>
  <c r="AC83" i="1" s="1"/>
  <c r="AB86" i="1" l="1"/>
  <c r="AB85" i="1"/>
  <c r="AC85" i="1" s="1"/>
  <c r="AB84" i="1"/>
  <c r="AC84" i="1" s="1"/>
  <c r="AB81" i="1"/>
  <c r="AC81" i="1" s="1"/>
  <c r="AB77" i="1"/>
  <c r="AC77" i="1" s="1"/>
  <c r="AB76" i="1"/>
  <c r="AC76" i="1" s="1"/>
  <c r="AB74" i="1"/>
  <c r="AC74" i="1" s="1"/>
  <c r="AB73" i="1"/>
  <c r="AC73" i="1" s="1"/>
  <c r="AB71" i="1"/>
  <c r="AC71" i="1" s="1"/>
  <c r="AB69" i="1"/>
  <c r="AC69" i="1" s="1"/>
  <c r="AB68" i="1"/>
  <c r="AC68" i="1" s="1"/>
  <c r="AB65" i="1"/>
  <c r="AC65" i="1" s="1"/>
  <c r="AB63" i="1"/>
  <c r="AC63" i="1" s="1"/>
  <c r="AB62" i="1"/>
  <c r="AC62" i="1" s="1"/>
  <c r="AB61" i="1"/>
  <c r="AC61" i="1" s="1"/>
  <c r="AB58" i="1"/>
  <c r="AC58" i="1" s="1"/>
  <c r="AB55" i="1"/>
  <c r="AC55" i="1" s="1"/>
  <c r="AB48" i="1"/>
  <c r="AC48" i="1" s="1"/>
  <c r="AB46" i="1"/>
  <c r="AC46" i="1" s="1"/>
  <c r="AB44" i="1"/>
  <c r="AC44" i="1" s="1"/>
  <c r="AB41" i="1"/>
  <c r="AC41" i="1" s="1"/>
  <c r="AB36" i="1"/>
  <c r="AC36" i="1" s="1"/>
  <c r="AB34" i="1"/>
  <c r="AC34" i="1" s="1"/>
  <c r="AB33" i="1"/>
  <c r="AC33" i="1" s="1"/>
  <c r="AB31" i="1"/>
  <c r="AC31" i="1" s="1"/>
  <c r="AB27" i="1"/>
  <c r="AC27" i="1" s="1"/>
  <c r="AB25" i="1"/>
  <c r="AC25" i="1" s="1"/>
  <c r="AB24" i="1"/>
  <c r="AC24" i="1" s="1"/>
  <c r="AB23" i="1"/>
  <c r="AC23" i="1" s="1"/>
  <c r="AB22" i="1"/>
  <c r="AC22" i="1" s="1"/>
  <c r="AB20" i="1"/>
  <c r="AC20" i="1" s="1"/>
  <c r="Y75" i="1"/>
  <c r="Y57" i="1"/>
  <c r="Y32" i="1"/>
  <c r="Y70" i="1"/>
  <c r="Y30" i="1"/>
  <c r="Y29" i="1"/>
  <c r="Y19" i="1"/>
  <c r="Y43" i="1"/>
  <c r="Y42" i="1"/>
  <c r="Y53" i="1"/>
  <c r="Y49" i="1"/>
  <c r="Y38" i="1"/>
  <c r="Y21" i="1"/>
  <c r="Y54" i="1"/>
  <c r="Y28" i="1"/>
  <c r="Y72" i="1"/>
  <c r="Y47" i="1"/>
  <c r="Y45" i="1"/>
  <c r="Y52" i="1"/>
  <c r="AB52" i="1" l="1"/>
  <c r="AC52" i="1" s="1"/>
  <c r="AB45" i="1"/>
  <c r="AC45" i="1" s="1"/>
  <c r="AB47" i="1"/>
  <c r="AC47" i="1" s="1"/>
  <c r="AB72" i="1"/>
  <c r="AC72" i="1" s="1"/>
  <c r="AB28" i="1"/>
  <c r="AC28" i="1" s="1"/>
  <c r="AB54" i="1"/>
  <c r="AC54" i="1" s="1"/>
  <c r="AB21" i="1"/>
  <c r="AC21" i="1" s="1"/>
  <c r="AB38" i="1"/>
  <c r="AC38" i="1" s="1"/>
  <c r="AB49" i="1"/>
  <c r="AC49" i="1" s="1"/>
  <c r="AB53" i="1"/>
  <c r="AC53" i="1" s="1"/>
  <c r="AB42" i="1"/>
  <c r="AC42" i="1" s="1"/>
  <c r="AB43" i="1"/>
  <c r="AC43" i="1" s="1"/>
  <c r="AB19" i="1"/>
  <c r="AC19" i="1" s="1"/>
  <c r="AB29" i="1"/>
  <c r="AC29" i="1" s="1"/>
  <c r="AB30" i="1"/>
  <c r="AC30" i="1" s="1"/>
  <c r="AB70" i="1"/>
  <c r="AC70" i="1" s="1"/>
  <c r="AB32" i="1"/>
  <c r="AC32" i="1" s="1"/>
  <c r="AB57" i="1"/>
  <c r="AC57" i="1" s="1"/>
  <c r="AB75" i="1"/>
  <c r="AC75" i="1" s="1"/>
  <c r="Y37" i="1"/>
  <c r="AB37" i="1" l="1"/>
  <c r="AC37" i="1" s="1"/>
  <c r="W32" i="1"/>
  <c r="Y56" i="1" l="1"/>
  <c r="AB56" i="1" s="1"/>
  <c r="AC56" i="1" s="1"/>
  <c r="Y35" i="1"/>
  <c r="AB35" i="1" s="1"/>
  <c r="AC35" i="1" s="1"/>
  <c r="Y60" i="1"/>
  <c r="Y64" i="1"/>
  <c r="AB64" i="1" s="1"/>
  <c r="AC64" i="1" s="1"/>
  <c r="Y51" i="1"/>
  <c r="AB51" i="1" s="1"/>
  <c r="AC51" i="1" s="1"/>
  <c r="AB89" i="1"/>
  <c r="AB88" i="1" s="1"/>
  <c r="AB87" i="1" s="1"/>
  <c r="J21" i="1"/>
  <c r="AD21" i="1" s="1"/>
  <c r="V83" i="1"/>
  <c r="U83" i="1"/>
  <c r="T83" i="1"/>
  <c r="S83" i="1"/>
  <c r="R83" i="1"/>
  <c r="Q83" i="1"/>
  <c r="P83" i="1"/>
  <c r="L83" i="1"/>
  <c r="K83" i="1"/>
  <c r="I83" i="1"/>
  <c r="I82" i="1" s="1"/>
  <c r="H83" i="1"/>
  <c r="W85" i="1"/>
  <c r="N85" i="1"/>
  <c r="M85" i="1"/>
  <c r="O85" i="1" s="1"/>
  <c r="J85" i="1"/>
  <c r="AD85" i="1" s="1"/>
  <c r="AB60" i="1" l="1"/>
  <c r="AC60" i="1" s="1"/>
  <c r="Y59" i="1"/>
  <c r="AB59" i="1" s="1"/>
  <c r="AC59" i="1" s="1"/>
  <c r="Y18" i="1"/>
  <c r="AB18" i="1" s="1"/>
  <c r="AC18" i="1" s="1"/>
  <c r="Y40" i="1"/>
  <c r="Y67" i="1"/>
  <c r="Y26" i="1"/>
  <c r="AB26" i="1" s="1"/>
  <c r="AC26" i="1" s="1"/>
  <c r="Y50" i="1"/>
  <c r="AB50" i="1" s="1"/>
  <c r="AC50" i="1" s="1"/>
  <c r="W84" i="1"/>
  <c r="W83" i="1" s="1"/>
  <c r="W61" i="1"/>
  <c r="W63" i="1"/>
  <c r="W62" i="1"/>
  <c r="W70" i="1"/>
  <c r="W30" i="1"/>
  <c r="W19" i="1"/>
  <c r="W57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W42" i="1"/>
  <c r="W80" i="1"/>
  <c r="W60" i="1"/>
  <c r="W31" i="1"/>
  <c r="Y66" i="1" l="1"/>
  <c r="AB66" i="1" s="1"/>
  <c r="AC66" i="1" s="1"/>
  <c r="AB67" i="1"/>
  <c r="AC67" i="1" s="1"/>
  <c r="Y39" i="1"/>
  <c r="AB39" i="1" s="1"/>
  <c r="AC39" i="1" s="1"/>
  <c r="AB40" i="1"/>
  <c r="AC40" i="1" s="1"/>
  <c r="Y17" i="1"/>
  <c r="AB17" i="1" s="1"/>
  <c r="AC17" i="1" s="1"/>
  <c r="V70" i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Y16" i="1" l="1"/>
  <c r="V42" i="1"/>
  <c r="V43" i="1"/>
  <c r="V75" i="1"/>
  <c r="Y15" i="1" l="1"/>
  <c r="V56" i="1"/>
  <c r="V29" i="1"/>
  <c r="W51" i="1"/>
  <c r="V54" i="1"/>
  <c r="V64" i="1"/>
  <c r="AB16" i="1" l="1"/>
  <c r="AC16" i="1" s="1"/>
  <c r="AD15" i="1"/>
  <c r="AB15" i="1"/>
  <c r="AC15" i="1" s="1"/>
  <c r="U19" i="1"/>
  <c r="U70" i="1"/>
  <c r="U30" i="1"/>
  <c r="U57" i="1"/>
  <c r="U53" i="1"/>
  <c r="U49" i="1"/>
  <c r="U32" i="1"/>
  <c r="U38" i="1"/>
  <c r="U21" i="1"/>
  <c r="U54" i="1"/>
  <c r="U75" i="1"/>
  <c r="U28" i="1"/>
  <c r="U72" i="1" l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T53" i="1"/>
  <c r="T49" i="1"/>
  <c r="T38" i="1"/>
  <c r="T72" i="1"/>
  <c r="T47" i="1"/>
  <c r="T45" i="1"/>
  <c r="T37" i="1"/>
  <c r="T29" i="1" l="1"/>
  <c r="T42" i="1"/>
  <c r="AC92" i="1"/>
  <c r="AC87" i="1"/>
  <c r="AC88" i="1"/>
  <c r="AC89" i="1"/>
  <c r="AC90" i="1"/>
  <c r="AC91" i="1"/>
  <c r="AC86" i="1" l="1"/>
  <c r="J86" i="1"/>
  <c r="AD86" i="1" s="1"/>
  <c r="J84" i="1"/>
  <c r="AD84" i="1" s="1"/>
  <c r="J65" i="1"/>
  <c r="AD65" i="1" s="1"/>
  <c r="J62" i="1"/>
  <c r="AD62" i="1" s="1"/>
  <c r="J61" i="1"/>
  <c r="AD61" i="1" s="1"/>
  <c r="I89" i="1"/>
  <c r="I88" i="1" s="1"/>
  <c r="I87" i="1" s="1"/>
  <c r="I80" i="1"/>
  <c r="I79" i="1" s="1"/>
  <c r="I67" i="1"/>
  <c r="I66" i="1" s="1"/>
  <c r="I64" i="1"/>
  <c r="I60" i="1"/>
  <c r="J83" i="1" l="1"/>
  <c r="AD83" i="1" s="1"/>
  <c r="I59" i="1"/>
  <c r="T35" i="1" l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U64" i="1"/>
  <c r="W59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T80" i="1"/>
  <c r="T64" i="1"/>
  <c r="T79" i="1" l="1"/>
  <c r="W78" i="1"/>
  <c r="W50" i="1"/>
  <c r="W17" i="1"/>
  <c r="V50" i="1"/>
  <c r="V17" i="1"/>
  <c r="U78" i="1"/>
  <c r="U50" i="1"/>
  <c r="U17" i="1"/>
  <c r="U16" i="1" s="1"/>
  <c r="T40" i="1"/>
  <c r="T51" i="1"/>
  <c r="T18" i="1"/>
  <c r="T56" i="1"/>
  <c r="T60" i="1"/>
  <c r="T67" i="1"/>
  <c r="T26" i="1"/>
  <c r="V78" i="1"/>
  <c r="T59" i="1"/>
  <c r="T82" i="1"/>
  <c r="S82" i="1"/>
  <c r="R82" i="1"/>
  <c r="Q82" i="1"/>
  <c r="P82" i="1"/>
  <c r="Q80" i="1"/>
  <c r="P80" i="1"/>
  <c r="Q79" i="1"/>
  <c r="P79" i="1"/>
  <c r="P78" i="1" s="1"/>
  <c r="S78" i="1"/>
  <c r="R78" i="1"/>
  <c r="S75" i="1"/>
  <c r="R75" i="1"/>
  <c r="Q75" i="1"/>
  <c r="S72" i="1"/>
  <c r="R72" i="1"/>
  <c r="Q72" i="1"/>
  <c r="S70" i="1"/>
  <c r="R70" i="1"/>
  <c r="Q70" i="1"/>
  <c r="Q67" i="1" s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R57" i="1"/>
  <c r="R56" i="1" s="1"/>
  <c r="Q57" i="1"/>
  <c r="S56" i="1"/>
  <c r="Q56" i="1"/>
  <c r="P56" i="1"/>
  <c r="S54" i="1"/>
  <c r="R54" i="1"/>
  <c r="Q54" i="1"/>
  <c r="S53" i="1"/>
  <c r="S51" i="1" s="1"/>
  <c r="S50" i="1" s="1"/>
  <c r="R53" i="1"/>
  <c r="Q53" i="1"/>
  <c r="R52" i="1"/>
  <c r="Q52" i="1"/>
  <c r="Q51" i="1" s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Q40" i="1" s="1"/>
  <c r="P40" i="1"/>
  <c r="P39" i="1" s="1"/>
  <c r="S38" i="1"/>
  <c r="R38" i="1"/>
  <c r="Q38" i="1"/>
  <c r="Q37" i="1"/>
  <c r="S35" i="1"/>
  <c r="R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P17" i="1" s="1"/>
  <c r="O92" i="1"/>
  <c r="O91" i="1"/>
  <c r="O90" i="1"/>
  <c r="J89" i="1"/>
  <c r="J88" i="1" s="1"/>
  <c r="J87" i="1" s="1"/>
  <c r="H89" i="1"/>
  <c r="H88" i="1" s="1"/>
  <c r="H87" i="1" s="1"/>
  <c r="N86" i="1"/>
  <c r="N83" i="1" s="1"/>
  <c r="N82" i="1" s="1"/>
  <c r="N78" i="1" s="1"/>
  <c r="M86" i="1"/>
  <c r="O86" i="1" s="1"/>
  <c r="M84" i="1"/>
  <c r="H82" i="1"/>
  <c r="J82" i="1"/>
  <c r="AD82" i="1" s="1"/>
  <c r="J81" i="1"/>
  <c r="AD81" i="1" s="1"/>
  <c r="M80" i="1"/>
  <c r="M79" i="1" s="1"/>
  <c r="L80" i="1"/>
  <c r="K80" i="1"/>
  <c r="K79" i="1" s="1"/>
  <c r="J80" i="1"/>
  <c r="H80" i="1"/>
  <c r="L79" i="1"/>
  <c r="L78" i="1" s="1"/>
  <c r="H79" i="1"/>
  <c r="O77" i="1"/>
  <c r="J77" i="1"/>
  <c r="AD77" i="1" s="1"/>
  <c r="O76" i="1"/>
  <c r="J76" i="1"/>
  <c r="AD76" i="1" s="1"/>
  <c r="N75" i="1"/>
  <c r="M75" i="1"/>
  <c r="L75" i="1"/>
  <c r="K75" i="1"/>
  <c r="J75" i="1"/>
  <c r="AD75" i="1" s="1"/>
  <c r="O74" i="1"/>
  <c r="J74" i="1"/>
  <c r="AD74" i="1" s="1"/>
  <c r="O73" i="1"/>
  <c r="J73" i="1"/>
  <c r="AD73" i="1" s="1"/>
  <c r="N72" i="1"/>
  <c r="M72" i="1"/>
  <c r="L72" i="1"/>
  <c r="K72" i="1"/>
  <c r="J72" i="1"/>
  <c r="AD72" i="1" s="1"/>
  <c r="O71" i="1"/>
  <c r="J71" i="1"/>
  <c r="AD71" i="1" s="1"/>
  <c r="N70" i="1"/>
  <c r="M70" i="1"/>
  <c r="L70" i="1"/>
  <c r="K70" i="1"/>
  <c r="J70" i="1"/>
  <c r="AD70" i="1" s="1"/>
  <c r="O69" i="1"/>
  <c r="J69" i="1"/>
  <c r="AD69" i="1" s="1"/>
  <c r="O68" i="1"/>
  <c r="J68" i="1"/>
  <c r="AD68" i="1" s="1"/>
  <c r="L67" i="1"/>
  <c r="L66" i="1" s="1"/>
  <c r="H67" i="1"/>
  <c r="H66" i="1" s="1"/>
  <c r="M65" i="1"/>
  <c r="O65" i="1" s="1"/>
  <c r="N64" i="1"/>
  <c r="L64" i="1"/>
  <c r="K64" i="1"/>
  <c r="J64" i="1"/>
  <c r="AD64" i="1" s="1"/>
  <c r="H64" i="1"/>
  <c r="N63" i="1"/>
  <c r="N60" i="1" s="1"/>
  <c r="M63" i="1"/>
  <c r="J63" i="1"/>
  <c r="AD63" i="1" s="1"/>
  <c r="M62" i="1"/>
  <c r="O62" i="1" s="1"/>
  <c r="M61" i="1"/>
  <c r="O61" i="1" s="1"/>
  <c r="L60" i="1"/>
  <c r="K60" i="1"/>
  <c r="H60" i="1"/>
  <c r="H59" i="1" s="1"/>
  <c r="O58" i="1"/>
  <c r="J58" i="1"/>
  <c r="AD58" i="1" s="1"/>
  <c r="N57" i="1"/>
  <c r="N56" i="1" s="1"/>
  <c r="M57" i="1"/>
  <c r="M56" i="1" s="1"/>
  <c r="L57" i="1"/>
  <c r="L56" i="1" s="1"/>
  <c r="K57" i="1"/>
  <c r="K56" i="1" s="1"/>
  <c r="J57" i="1"/>
  <c r="AD57" i="1" s="1"/>
  <c r="I56" i="1"/>
  <c r="H56" i="1"/>
  <c r="O55" i="1"/>
  <c r="J55" i="1"/>
  <c r="AD55" i="1" s="1"/>
  <c r="N54" i="1"/>
  <c r="O54" i="1" s="1"/>
  <c r="J54" i="1"/>
  <c r="AD54" i="1" s="1"/>
  <c r="N53" i="1"/>
  <c r="M53" i="1"/>
  <c r="J53" i="1"/>
  <c r="AD53" i="1" s="1"/>
  <c r="N52" i="1"/>
  <c r="M52" i="1"/>
  <c r="L52" i="1"/>
  <c r="L51" i="1" s="1"/>
  <c r="K52" i="1"/>
  <c r="K51" i="1" s="1"/>
  <c r="J52" i="1"/>
  <c r="AD52" i="1" s="1"/>
  <c r="I51" i="1"/>
  <c r="H51" i="1"/>
  <c r="N49" i="1"/>
  <c r="M49" i="1"/>
  <c r="J49" i="1"/>
  <c r="AD49" i="1" s="1"/>
  <c r="O48" i="1"/>
  <c r="J48" i="1"/>
  <c r="AD48" i="1" s="1"/>
  <c r="N47" i="1"/>
  <c r="M47" i="1"/>
  <c r="L47" i="1"/>
  <c r="K47" i="1"/>
  <c r="J47" i="1"/>
  <c r="AD47" i="1" s="1"/>
  <c r="O46" i="1"/>
  <c r="J46" i="1"/>
  <c r="AD46" i="1" s="1"/>
  <c r="N45" i="1"/>
  <c r="M45" i="1"/>
  <c r="L45" i="1"/>
  <c r="K45" i="1"/>
  <c r="J45" i="1"/>
  <c r="AD45" i="1" s="1"/>
  <c r="N44" i="1"/>
  <c r="O44" i="1" s="1"/>
  <c r="J44" i="1"/>
  <c r="AD44" i="1" s="1"/>
  <c r="N43" i="1"/>
  <c r="M43" i="1"/>
  <c r="L43" i="1"/>
  <c r="K43" i="1"/>
  <c r="J43" i="1"/>
  <c r="AD43" i="1" s="1"/>
  <c r="N42" i="1"/>
  <c r="M42" i="1"/>
  <c r="L42" i="1"/>
  <c r="K42" i="1"/>
  <c r="J42" i="1"/>
  <c r="AD42" i="1" s="1"/>
  <c r="N41" i="1"/>
  <c r="K41" i="1"/>
  <c r="J41" i="1"/>
  <c r="AD41" i="1" s="1"/>
  <c r="I40" i="1"/>
  <c r="I39" i="1" s="1"/>
  <c r="H40" i="1"/>
  <c r="H39" i="1" s="1"/>
  <c r="N38" i="1"/>
  <c r="M38" i="1"/>
  <c r="J38" i="1"/>
  <c r="AD38" i="1" s="1"/>
  <c r="N37" i="1"/>
  <c r="M37" i="1"/>
  <c r="L37" i="1"/>
  <c r="L35" i="1" s="1"/>
  <c r="J37" i="1"/>
  <c r="AD37" i="1" s="1"/>
  <c r="O36" i="1"/>
  <c r="J36" i="1"/>
  <c r="AD36" i="1" s="1"/>
  <c r="K35" i="1"/>
  <c r="I35" i="1"/>
  <c r="H35" i="1"/>
  <c r="O34" i="1"/>
  <c r="J34" i="1"/>
  <c r="AD34" i="1" s="1"/>
  <c r="O33" i="1"/>
  <c r="J33" i="1"/>
  <c r="AD33" i="1" s="1"/>
  <c r="N32" i="1"/>
  <c r="M32" i="1"/>
  <c r="L32" i="1"/>
  <c r="K32" i="1"/>
  <c r="J32" i="1"/>
  <c r="AD32" i="1" s="1"/>
  <c r="L31" i="1"/>
  <c r="O31" i="1" s="1"/>
  <c r="J31" i="1"/>
  <c r="AD31" i="1" s="1"/>
  <c r="N30" i="1"/>
  <c r="M30" i="1"/>
  <c r="L30" i="1"/>
  <c r="K30" i="1"/>
  <c r="J30" i="1"/>
  <c r="AD30" i="1" s="1"/>
  <c r="N29" i="1"/>
  <c r="M29" i="1"/>
  <c r="L29" i="1"/>
  <c r="K29" i="1"/>
  <c r="J29" i="1"/>
  <c r="AD29" i="1" s="1"/>
  <c r="N28" i="1"/>
  <c r="M28" i="1"/>
  <c r="L28" i="1"/>
  <c r="K28" i="1"/>
  <c r="J28" i="1"/>
  <c r="AD28" i="1" s="1"/>
  <c r="O27" i="1"/>
  <c r="J27" i="1"/>
  <c r="AD27" i="1" s="1"/>
  <c r="I26" i="1"/>
  <c r="H26" i="1"/>
  <c r="O25" i="1"/>
  <c r="J25" i="1"/>
  <c r="AD25" i="1" s="1"/>
  <c r="O24" i="1"/>
  <c r="J24" i="1"/>
  <c r="AD24" i="1" s="1"/>
  <c r="O23" i="1"/>
  <c r="O22" i="1"/>
  <c r="J22" i="1"/>
  <c r="AD22" i="1" s="1"/>
  <c r="N21" i="1"/>
  <c r="M21" i="1"/>
  <c r="O20" i="1"/>
  <c r="J20" i="1"/>
  <c r="AD20" i="1" s="1"/>
  <c r="N19" i="1"/>
  <c r="M19" i="1"/>
  <c r="L19" i="1"/>
  <c r="L18" i="1" s="1"/>
  <c r="K19" i="1"/>
  <c r="J19" i="1"/>
  <c r="AD19" i="1" s="1"/>
  <c r="K18" i="1"/>
  <c r="I18" i="1"/>
  <c r="H18" i="1"/>
  <c r="J79" i="1" l="1"/>
  <c r="AD79" i="1" s="1"/>
  <c r="AD80" i="1"/>
  <c r="K59" i="1"/>
  <c r="N59" i="1"/>
  <c r="Q50" i="1"/>
  <c r="U15" i="1"/>
  <c r="M26" i="1"/>
  <c r="N35" i="1"/>
  <c r="J60" i="1"/>
  <c r="O84" i="1"/>
  <c r="O83" i="1" s="1"/>
  <c r="M83" i="1"/>
  <c r="L59" i="1"/>
  <c r="P16" i="1"/>
  <c r="H17" i="1"/>
  <c r="J18" i="1"/>
  <c r="N18" i="1"/>
  <c r="M18" i="1"/>
  <c r="I50" i="1"/>
  <c r="J78" i="1"/>
  <c r="AD78" i="1" s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N40" i="1"/>
  <c r="N39" i="1" s="1"/>
  <c r="O42" i="1"/>
  <c r="L40" i="1"/>
  <c r="L39" i="1" s="1"/>
  <c r="J51" i="1"/>
  <c r="AD51" i="1" s="1"/>
  <c r="N51" i="1"/>
  <c r="J67" i="1"/>
  <c r="N67" i="1"/>
  <c r="N66" i="1" s="1"/>
  <c r="Q26" i="1"/>
  <c r="S26" i="1"/>
  <c r="L50" i="1"/>
  <c r="R26" i="1"/>
  <c r="R17" i="1" s="1"/>
  <c r="S67" i="1"/>
  <c r="S66" i="1" s="1"/>
  <c r="L26" i="1"/>
  <c r="L17" i="1" s="1"/>
  <c r="L16" i="1" s="1"/>
  <c r="L15" i="1" s="1"/>
  <c r="N26" i="1"/>
  <c r="N17" i="1" s="1"/>
  <c r="K26" i="1"/>
  <c r="O32" i="1"/>
  <c r="O47" i="1"/>
  <c r="H50" i="1"/>
  <c r="H16" i="1" s="1"/>
  <c r="M51" i="1"/>
  <c r="M50" i="1" s="1"/>
  <c r="J56" i="1"/>
  <c r="AD56" i="1" s="1"/>
  <c r="K67" i="1"/>
  <c r="M67" i="1"/>
  <c r="M66" i="1" s="1"/>
  <c r="Q18" i="1"/>
  <c r="S18" i="1"/>
  <c r="S17" i="1" s="1"/>
  <c r="Q35" i="1"/>
  <c r="S40" i="1"/>
  <c r="S39" i="1" s="1"/>
  <c r="R51" i="1"/>
  <c r="Q66" i="1"/>
  <c r="Q39" i="1"/>
  <c r="R50" i="1"/>
  <c r="P15" i="1"/>
  <c r="O26" i="1"/>
  <c r="N50" i="1"/>
  <c r="H78" i="1"/>
  <c r="J35" i="1"/>
  <c r="AD35" i="1" s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18" i="1"/>
  <c r="O29" i="1"/>
  <c r="O37" i="1"/>
  <c r="O67" i="1"/>
  <c r="K66" i="1"/>
  <c r="I17" i="1"/>
  <c r="M17" i="1"/>
  <c r="O19" i="1"/>
  <c r="O21" i="1"/>
  <c r="J26" i="1"/>
  <c r="AD26" i="1" s="1"/>
  <c r="O28" i="1"/>
  <c r="O30" i="1"/>
  <c r="O38" i="1"/>
  <c r="O41" i="1"/>
  <c r="O52" i="1"/>
  <c r="O57" i="1"/>
  <c r="O70" i="1"/>
  <c r="M60" i="1"/>
  <c r="M64" i="1"/>
  <c r="O64" i="1" s="1"/>
  <c r="K82" i="1"/>
  <c r="M82" i="1"/>
  <c r="J59" i="1" l="1"/>
  <c r="AD59" i="1" s="1"/>
  <c r="AD60" i="1"/>
  <c r="J66" i="1"/>
  <c r="AD66" i="1" s="1"/>
  <c r="AD67" i="1"/>
  <c r="J39" i="1"/>
  <c r="AD39" i="1" s="1"/>
  <c r="AD40" i="1"/>
  <c r="Q17" i="1"/>
  <c r="J17" i="1"/>
  <c r="J50" i="1"/>
  <c r="AD50" i="1" s="1"/>
  <c r="T16" i="1"/>
  <c r="S16" i="1"/>
  <c r="S15" i="1" s="1"/>
  <c r="O66" i="1"/>
  <c r="H15" i="1"/>
  <c r="N16" i="1"/>
  <c r="N15" i="1" s="1"/>
  <c r="R16" i="1"/>
  <c r="R15" i="1" s="1"/>
  <c r="Q16" i="1"/>
  <c r="O82" i="1"/>
  <c r="O50" i="1"/>
  <c r="O40" i="1"/>
  <c r="K39" i="1"/>
  <c r="O39" i="1" s="1"/>
  <c r="O17" i="1"/>
  <c r="M59" i="1"/>
  <c r="O59" i="1" s="1"/>
  <c r="O60" i="1"/>
  <c r="M16" i="1"/>
  <c r="M15" i="1" s="1"/>
  <c r="K78" i="1"/>
  <c r="O78" i="1" s="1"/>
  <c r="T15" i="1" l="1"/>
  <c r="K16" i="1"/>
  <c r="Q15" i="1"/>
  <c r="K15" i="1"/>
  <c r="O15" i="1" s="1"/>
  <c r="O16" i="1"/>
</calcChain>
</file>

<file path=xl/sharedStrings.xml><?xml version="1.0" encoding="utf-8"?>
<sst xmlns="http://schemas.openxmlformats.org/spreadsheetml/2006/main" count="223" uniqueCount="141">
  <si>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</si>
  <si>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</si>
  <si>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</si>
  <si>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</si>
  <si>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</si>
  <si>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</si>
  <si>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</si>
  <si>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</si>
  <si>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</si>
  <si>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</si>
  <si>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</si>
  <si>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</si>
  <si>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</si>
  <si>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</si>
  <si>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</si>
  <si>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</si>
  <si>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</si>
  <si>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</si>
  <si>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</si>
  <si>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</si>
  <si>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</si>
  <si>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</si>
  <si>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</si>
  <si>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</si>
  <si>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</si>
  <si>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</si>
  <si>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</si>
  <si>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</si>
  <si>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</si>
  <si>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</si>
  <si>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</si>
  <si>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</si>
  <si>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</si>
  <si>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</si>
  <si>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</si>
  <si>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</si>
  <si>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</si>
  <si>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</si>
  <si>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</si>
  <si>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</si>
  <si>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</si>
  <si>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</si>
  <si>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</si>
  <si>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</si>
  <si>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</si>
  <si>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</si>
  <si>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</si>
  <si>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</si>
  <si>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</si>
  <si>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</si>
  <si>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</si>
  <si>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</si>
  <si>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</si>
  <si>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</si>
  <si>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</si>
  <si>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</si>
  <si>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</si>
  <si>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</si>
  <si>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</si>
  <si>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</si>
  <si>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</si>
  <si>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</si>
  <si>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</si>
  <si>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</si>
  <si>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</si>
  <si>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</si>
  <si>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</si>
  <si>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</si>
  <si>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</si>
  <si>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</si>
  <si>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</si>
  <si>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</si>
  <si>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</si>
  <si>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</si>
  <si>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</si>
  <si>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</si>
  <si>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</si>
  <si>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</si>
  <si>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</si>
  <si>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</si>
  <si>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</si>
  <si>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</si>
  <si>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</si>
  <si>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</si>
  <si>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</si>
  <si>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</si>
  <si>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</si>
  <si>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</si>
  <si>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</si>
  <si>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</si>
  <si>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</si>
  <si>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</si>
  <si>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</si>
  <si>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</si>
  <si>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</si>
  <si>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</si>
  <si>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</si>
  <si>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</si>
  <si>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</si>
  <si>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</si>
  <si>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</si>
  <si>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</si>
  <si>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</si>
  <si>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</si>
  <si>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</si>
  <si>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</si>
  <si>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</si>
  <si>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</si>
  <si>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</si>
  <si>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</si>
  <si>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</si>
  <si>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</si>
  <si>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</si>
  <si>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</si>
  <si>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</si>
  <si>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</si>
  <si>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</si>
  <si>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</si>
  <si>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</si>
  <si>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</si>
  <si>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</si>
  <si>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</si>
  <si>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</si>
  <si>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</si>
  <si>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</si>
  <si>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</si>
  <si>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</si>
  <si>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</si>
  <si>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</si>
  <si>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</si>
  <si>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</si>
  <si>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</si>
  <si>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</si>
  <si>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</si>
  <si>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</si>
  <si>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</si>
  <si>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</si>
  <si>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</si>
  <si>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</si>
  <si>
    <t>ACUMULADO TOTAL</t>
  </si>
  <si>
    <t>Periodo: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</si>
</sst>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1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0" fillId="2" borderId="9" xfId="1" applyNumberFormat="1" applyFont="1" applyFill="1" applyBorder="1"/>
    <xf numFmtId="164" fontId="14" fillId="2" borderId="9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H97"/>
  <sheetViews>
    <sheetView tabSelected="1" topLeftCell="G7" zoomScale="80" zoomScaleNormal="80" workbookViewId="0">
      <selection activeCell="AD21" sqref="AD21"/>
    </sheetView>
  </sheetViews>
  <sheetFormatPr baseColWidth="10" defaultRowHeight="13.5" x14ac:dyDescent="0.25"/>
  <cols>
    <col min="1" max="1" width="6.42578125" style="1" customWidth="1"/>
    <col min="2" max="2" width="6.85546875" style="1" bestFit="1" customWidth="1"/>
    <col min="3" max="3" width="7.28515625" style="1" customWidth="1"/>
    <col min="4" max="4" width="7.42578125" style="1" customWidth="1"/>
    <col min="5" max="6" width="4.7109375" style="1" customWidth="1"/>
    <col min="7" max="7" width="45.85546875" style="1" customWidth="1"/>
    <col min="8" max="8" width="18" style="1" customWidth="1"/>
    <col min="9" max="9" width="14.5703125" style="1" customWidth="1"/>
    <col min="10" max="10" width="18" style="1" customWidth="1"/>
    <col min="11" max="19" width="18" style="1" hidden="1" customWidth="1"/>
    <col min="20" max="20" width="16.85546875" style="1" hidden="1" customWidth="1"/>
    <col min="21" max="21" width="14.5703125" style="1" hidden="1" customWidth="1"/>
    <col min="22" max="22" width="14.140625" style="1" hidden="1" customWidth="1"/>
    <col min="23" max="23" width="16.85546875" style="1" hidden="1" customWidth="1"/>
    <col min="24" max="27" width="16.85546875" style="1" customWidth="1"/>
    <col min="28" max="28" width="19.42578125" style="52" customWidth="1"/>
    <col min="29" max="29" width="17" style="1" customWidth="1"/>
    <col min="30" max="30" width="9.85546875" style="1" customWidth="1"/>
    <col min="31" max="31" width="21.42578125" style="3" customWidth="1"/>
    <col min="32" max="16384" width="11.42578125" style="1"/>
  </cols>
  <sheetData>
    <row r="3" spans="1:31" x14ac:dyDescent="0.25">
      <c r="AC3" s="2"/>
    </row>
    <row r="5" spans="1:31" x14ac:dyDescent="0.25">
      <c r="AC5" s="2"/>
    </row>
    <row r="7" spans="1:31" ht="18.75" x14ac:dyDescent="0.3">
      <c r="A7" s="72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1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3"/>
      <c r="AC8" s="5" t="s">
        <v>1</v>
      </c>
    </row>
    <row r="9" spans="1:31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3"/>
      <c r="AC9" s="5"/>
    </row>
    <row r="10" spans="1:31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4"/>
      <c r="Z10" s="4"/>
      <c r="AA10" s="4"/>
      <c r="AB10" s="53"/>
      <c r="AC10" s="5"/>
    </row>
    <row r="11" spans="1:31" ht="15" x14ac:dyDescent="0.3">
      <c r="A11" s="7" t="s">
        <v>2</v>
      </c>
      <c r="B11" s="4">
        <v>30</v>
      </c>
      <c r="G11" s="7" t="s">
        <v>3</v>
      </c>
      <c r="J11" s="8" t="s">
        <v>140</v>
      </c>
      <c r="K11" s="2"/>
      <c r="L11" s="9" t="s">
        <v>4</v>
      </c>
      <c r="M11" s="2"/>
      <c r="N11" s="2"/>
      <c r="O11" s="2"/>
      <c r="P11" s="9" t="s">
        <v>137</v>
      </c>
      <c r="Q11" s="2"/>
      <c r="R11" s="2"/>
      <c r="S11" s="2"/>
      <c r="T11" s="51">
        <v>43251</v>
      </c>
      <c r="U11" s="2"/>
      <c r="V11" s="2"/>
      <c r="W11" s="2"/>
      <c r="X11" s="2"/>
      <c r="Y11" s="2"/>
      <c r="Z11" s="2"/>
      <c r="AA11" s="2"/>
      <c r="AC11" s="2"/>
    </row>
    <row r="12" spans="1:31" s="10" customFormat="1" ht="14.25" thickBot="1" x14ac:dyDescent="0.3">
      <c r="H12" s="10">
        <v>1</v>
      </c>
      <c r="I12" s="10">
        <v>2</v>
      </c>
      <c r="J12" s="10">
        <v>3</v>
      </c>
      <c r="L12" s="11"/>
      <c r="AB12" s="54">
        <v>4</v>
      </c>
      <c r="AC12" s="10">
        <v>5</v>
      </c>
      <c r="AD12" s="10">
        <v>6</v>
      </c>
      <c r="AE12" s="12"/>
    </row>
    <row r="13" spans="1:31" s="14" customFormat="1" ht="30" customHeight="1" x14ac:dyDescent="0.2">
      <c r="A13" s="73" t="s">
        <v>5</v>
      </c>
      <c r="B13" s="64" t="s">
        <v>6</v>
      </c>
      <c r="C13" s="64" t="s">
        <v>7</v>
      </c>
      <c r="D13" s="64" t="s">
        <v>8</v>
      </c>
      <c r="E13" s="64" t="s">
        <v>9</v>
      </c>
      <c r="F13" s="64" t="s">
        <v>10</v>
      </c>
      <c r="G13" s="75" t="s">
        <v>11</v>
      </c>
      <c r="H13" s="64" t="s">
        <v>12</v>
      </c>
      <c r="I13" s="64" t="s">
        <v>13</v>
      </c>
      <c r="J13" s="64" t="s">
        <v>14</v>
      </c>
      <c r="K13" s="49" t="s">
        <v>15</v>
      </c>
      <c r="L13" s="49" t="s">
        <v>16</v>
      </c>
      <c r="M13" s="49" t="s">
        <v>17</v>
      </c>
      <c r="N13" s="49" t="s">
        <v>18</v>
      </c>
      <c r="O13" s="49" t="s">
        <v>19</v>
      </c>
      <c r="P13" s="47" t="s">
        <v>133</v>
      </c>
      <c r="Q13" s="47" t="s">
        <v>134</v>
      </c>
      <c r="R13" s="47" t="s">
        <v>135</v>
      </c>
      <c r="S13" s="47" t="s">
        <v>136</v>
      </c>
      <c r="T13" s="58" t="s">
        <v>15</v>
      </c>
      <c r="U13" s="58" t="s">
        <v>16</v>
      </c>
      <c r="V13" s="58" t="s">
        <v>17</v>
      </c>
      <c r="W13" s="58" t="s">
        <v>18</v>
      </c>
      <c r="X13" s="64" t="s">
        <v>19</v>
      </c>
      <c r="Y13" s="60" t="s">
        <v>133</v>
      </c>
      <c r="Z13" s="62" t="s">
        <v>134</v>
      </c>
      <c r="AA13" s="64" t="s">
        <v>139</v>
      </c>
      <c r="AB13" s="66" t="s">
        <v>20</v>
      </c>
      <c r="AC13" s="68" t="s">
        <v>21</v>
      </c>
      <c r="AD13" s="70" t="s">
        <v>22</v>
      </c>
      <c r="AE13" s="13"/>
    </row>
    <row r="14" spans="1:31" ht="30" customHeight="1" x14ac:dyDescent="0.25">
      <c r="A14" s="74"/>
      <c r="B14" s="65"/>
      <c r="C14" s="65"/>
      <c r="D14" s="65"/>
      <c r="E14" s="65"/>
      <c r="F14" s="65"/>
      <c r="G14" s="76"/>
      <c r="H14" s="65"/>
      <c r="I14" s="65"/>
      <c r="J14" s="65"/>
      <c r="K14" s="50"/>
      <c r="L14" s="50"/>
      <c r="M14" s="50"/>
      <c r="N14" s="50"/>
      <c r="O14" s="50"/>
      <c r="P14" s="48"/>
      <c r="Q14" s="48"/>
      <c r="R14" s="48"/>
      <c r="S14" s="48"/>
      <c r="T14" s="59"/>
      <c r="U14" s="59"/>
      <c r="V14" s="59"/>
      <c r="W14" s="59"/>
      <c r="X14" s="77"/>
      <c r="Y14" s="61"/>
      <c r="Z14" s="63"/>
      <c r="AA14" s="77"/>
      <c r="AB14" s="67"/>
      <c r="AC14" s="69"/>
      <c r="AD14" s="71"/>
      <c r="AE14" s="15"/>
    </row>
    <row r="15" spans="1:31" s="20" customFormat="1" ht="15" customHeight="1" x14ac:dyDescent="0.3">
      <c r="A15" s="16"/>
      <c r="B15" s="16"/>
      <c r="C15" s="16"/>
      <c r="D15" s="16"/>
      <c r="E15" s="16"/>
      <c r="F15" s="16"/>
      <c r="G15" s="17" t="s">
        <v>23</v>
      </c>
      <c r="H15" s="18">
        <f>+H16+H78+H87</f>
        <v>3548481992</v>
      </c>
      <c r="I15" s="18">
        <v>450000000</v>
      </c>
      <c r="J15" s="18">
        <v>3998481992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1188630629</v>
      </c>
      <c r="X15" s="18">
        <v>1950753740</v>
      </c>
      <c r="Y15" s="18">
        <f>+Y16+Y78</f>
        <v>156611116</v>
      </c>
      <c r="Z15" s="18">
        <f>+Z16+Z78</f>
        <v>71664350</v>
      </c>
      <c r="AA15" s="18">
        <f>+X15+Y15+Z15</f>
        <v>2179029206</v>
      </c>
      <c r="AB15" s="55">
        <f>+AA15</f>
        <v>2179029206</v>
      </c>
      <c r="AC15" s="18">
        <f>+AB15</f>
        <v>2179029206</v>
      </c>
      <c r="AD15" s="19">
        <f t="shared" ref="AD15:AD46" si="1">+AA15*100/J15</f>
        <v>54.496411647212938</v>
      </c>
      <c r="AE15" s="15"/>
    </row>
    <row r="16" spans="1:31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24</v>
      </c>
      <c r="H16" s="18">
        <f>+H17+H39+H50+H59+H66</f>
        <v>1649263719</v>
      </c>
      <c r="I16" s="18">
        <v>275000000</v>
      </c>
      <c r="J16" s="18">
        <v>1924263719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2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3">+U17+U39+U50+U59+U66</f>
        <v>19006070</v>
      </c>
      <c r="V16" s="18">
        <f t="shared" si="3"/>
        <v>26612349</v>
      </c>
      <c r="W16" s="18">
        <f t="shared" si="3"/>
        <v>396597872</v>
      </c>
      <c r="X16" s="18">
        <v>873688632</v>
      </c>
      <c r="Y16" s="18">
        <f>+Y17+Y39+Y50+Y59+Y66</f>
        <v>156611116</v>
      </c>
      <c r="Z16" s="18">
        <f>+Z17+Z39+Z50+Z59+Z66</f>
        <v>23503739</v>
      </c>
      <c r="AA16" s="18">
        <f t="shared" ref="AA16:AA79" si="4">+X16+Y16+Z16</f>
        <v>1053803487</v>
      </c>
      <c r="AB16" s="55">
        <f t="shared" ref="AB16:AC79" si="5">+AA16</f>
        <v>1053803487</v>
      </c>
      <c r="AC16" s="18">
        <f t="shared" si="5"/>
        <v>1053803487</v>
      </c>
      <c r="AD16" s="19">
        <f t="shared" si="1"/>
        <v>54.763984613691093</v>
      </c>
      <c r="AE16" s="21"/>
    </row>
    <row r="17" spans="1:31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25</v>
      </c>
      <c r="H17" s="18">
        <f t="shared" ref="H17:M17" si="6">+H18+H26+H35</f>
        <v>324221929</v>
      </c>
      <c r="I17" s="18">
        <f t="shared" si="6"/>
        <v>0</v>
      </c>
      <c r="J17" s="18">
        <f t="shared" si="6"/>
        <v>324221929</v>
      </c>
      <c r="K17" s="18">
        <f t="shared" si="6"/>
        <v>6994025</v>
      </c>
      <c r="L17" s="18">
        <f t="shared" si="6"/>
        <v>29225356</v>
      </c>
      <c r="M17" s="18">
        <f t="shared" si="6"/>
        <v>16304276</v>
      </c>
      <c r="N17" s="18">
        <f>+N18+N26+N35</f>
        <v>42077600</v>
      </c>
      <c r="O17" s="18">
        <f t="shared" si="2"/>
        <v>94601257</v>
      </c>
      <c r="P17" s="18">
        <f t="shared" ref="P17:Q17" si="7">+P18+P26+P35</f>
        <v>16274827</v>
      </c>
      <c r="Q17" s="18">
        <f t="shared" si="7"/>
        <v>29369582</v>
      </c>
      <c r="R17" s="18">
        <f>+R18+R26+R35</f>
        <v>16958584</v>
      </c>
      <c r="S17" s="18">
        <f>+S18+S26+S35</f>
        <v>11665385</v>
      </c>
      <c r="T17" s="18">
        <f t="shared" ref="T17" si="8">+T18+T26+T35</f>
        <v>8130061</v>
      </c>
      <c r="U17" s="18">
        <f t="shared" ref="U17:W17" si="9">+U18+U26+U35</f>
        <v>13858870</v>
      </c>
      <c r="V17" s="18">
        <f t="shared" si="9"/>
        <v>22122149</v>
      </c>
      <c r="W17" s="18">
        <f t="shared" si="9"/>
        <v>46310213</v>
      </c>
      <c r="X17" s="18">
        <v>90421293</v>
      </c>
      <c r="Y17" s="18">
        <f>+Y18+Y26+Y35</f>
        <v>18347653</v>
      </c>
      <c r="Z17" s="18">
        <f>+Z18+Z26+Z35</f>
        <v>16887119</v>
      </c>
      <c r="AA17" s="18">
        <f t="shared" si="4"/>
        <v>125656065</v>
      </c>
      <c r="AB17" s="55">
        <f t="shared" si="5"/>
        <v>125656065</v>
      </c>
      <c r="AC17" s="18">
        <f t="shared" si="5"/>
        <v>125656065</v>
      </c>
      <c r="AD17" s="19">
        <f t="shared" si="1"/>
        <v>38.75618943714322</v>
      </c>
      <c r="AE17" s="15"/>
    </row>
    <row r="18" spans="1:31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26</v>
      </c>
      <c r="H18" s="18">
        <f t="shared" ref="H18:M18" si="10">SUM(H19:H25)</f>
        <v>217500000</v>
      </c>
      <c r="I18" s="18">
        <f t="shared" si="10"/>
        <v>0</v>
      </c>
      <c r="J18" s="18">
        <f t="shared" si="10"/>
        <v>217500000</v>
      </c>
      <c r="K18" s="18">
        <f t="shared" si="10"/>
        <v>4013825</v>
      </c>
      <c r="L18" s="18">
        <f t="shared" si="10"/>
        <v>26116451</v>
      </c>
      <c r="M18" s="18">
        <f t="shared" si="10"/>
        <v>12565763</v>
      </c>
      <c r="N18" s="18">
        <f>+N19+N20+N21+N22+N23+N24+N25</f>
        <v>31934158</v>
      </c>
      <c r="O18" s="18">
        <f t="shared" si="2"/>
        <v>74630197</v>
      </c>
      <c r="P18" s="18">
        <f t="shared" ref="P18:Q18" si="11">SUM(P19:P25)</f>
        <v>7704578</v>
      </c>
      <c r="Q18" s="18">
        <f t="shared" si="11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2">SUM(T19:T25)</f>
        <v>4864080</v>
      </c>
      <c r="U18" s="18">
        <f t="shared" ref="U18:W18" si="13">SUM(U19:U25)</f>
        <v>10553941</v>
      </c>
      <c r="V18" s="18">
        <f t="shared" si="13"/>
        <v>15143884</v>
      </c>
      <c r="W18" s="18">
        <f t="shared" si="13"/>
        <v>42074727</v>
      </c>
      <c r="X18" s="18">
        <v>72636632</v>
      </c>
      <c r="Y18" s="18">
        <f>+Y19+Y20+Y21+Y22+Y23+Y24+Y25</f>
        <v>13376441</v>
      </c>
      <c r="Z18" s="18">
        <f>+Z19+Z20+Z21+Z22+Z23+Z24+Z25</f>
        <v>11463300</v>
      </c>
      <c r="AA18" s="18">
        <f t="shared" si="4"/>
        <v>97476373</v>
      </c>
      <c r="AB18" s="55">
        <f t="shared" si="5"/>
        <v>97476373</v>
      </c>
      <c r="AC18" s="18">
        <f t="shared" si="5"/>
        <v>97476373</v>
      </c>
      <c r="AD18" s="19">
        <f t="shared" si="1"/>
        <v>44.816723218390806</v>
      </c>
      <c r="AE18" s="15"/>
    </row>
    <row r="19" spans="1:31" ht="15" customHeight="1" x14ac:dyDescent="0.25">
      <c r="A19" s="16"/>
      <c r="B19" s="22"/>
      <c r="C19" s="22">
        <v>112</v>
      </c>
      <c r="D19" s="22" t="s">
        <v>27</v>
      </c>
      <c r="E19" s="22">
        <v>30</v>
      </c>
      <c r="F19" s="22" t="s">
        <v>27</v>
      </c>
      <c r="G19" s="23" t="s">
        <v>28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v>67606632</v>
      </c>
      <c r="Y19" s="24">
        <f>1358846+277424+1391391+183880+1725811+121974+738955+959711+574615+586201+1335816+224482+154181+1112610+255544</f>
        <v>11001441</v>
      </c>
      <c r="Z19" s="24">
        <f>557662+91934+607973+320482+321393+635404+30646+277806</f>
        <v>2843300</v>
      </c>
      <c r="AA19" s="24">
        <f t="shared" si="4"/>
        <v>81451373</v>
      </c>
      <c r="AB19" s="56">
        <f t="shared" si="5"/>
        <v>81451373</v>
      </c>
      <c r="AC19" s="24">
        <f t="shared" si="5"/>
        <v>81451373</v>
      </c>
      <c r="AD19" s="26">
        <f t="shared" si="1"/>
        <v>52.549272903225805</v>
      </c>
    </row>
    <row r="20" spans="1:31" ht="15" customHeight="1" x14ac:dyDescent="0.25">
      <c r="A20" s="16"/>
      <c r="B20" s="22"/>
      <c r="C20" s="22">
        <v>112</v>
      </c>
      <c r="D20" s="22" t="s">
        <v>29</v>
      </c>
      <c r="E20" s="22">
        <v>30</v>
      </c>
      <c r="F20" s="22" t="s">
        <v>27</v>
      </c>
      <c r="G20" s="23" t="s">
        <v>30</v>
      </c>
      <c r="H20" s="24">
        <v>2000000</v>
      </c>
      <c r="I20" s="24">
        <v>0</v>
      </c>
      <c r="J20" s="24">
        <f>+H20+I20</f>
        <v>2000000</v>
      </c>
      <c r="K20" s="24"/>
      <c r="L20" s="24"/>
      <c r="M20" s="24"/>
      <c r="N20" s="24"/>
      <c r="O20" s="24">
        <f t="shared" si="2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/>
      <c r="AA20" s="24">
        <f t="shared" si="4"/>
        <v>0</v>
      </c>
      <c r="AB20" s="56">
        <f t="shared" si="5"/>
        <v>0</v>
      </c>
      <c r="AC20" s="24">
        <f t="shared" si="5"/>
        <v>0</v>
      </c>
      <c r="AD20" s="26">
        <f t="shared" si="1"/>
        <v>0</v>
      </c>
    </row>
    <row r="21" spans="1:31" ht="15" customHeight="1" x14ac:dyDescent="0.25">
      <c r="A21" s="16"/>
      <c r="B21" s="22"/>
      <c r="C21" s="22">
        <v>112</v>
      </c>
      <c r="D21" s="22" t="s">
        <v>31</v>
      </c>
      <c r="E21" s="22">
        <v>30</v>
      </c>
      <c r="F21" s="22" t="s">
        <v>27</v>
      </c>
      <c r="G21" s="23" t="s">
        <v>32</v>
      </c>
      <c r="H21" s="24">
        <v>45000000</v>
      </c>
      <c r="I21" s="24">
        <v>0</v>
      </c>
      <c r="J21" s="24">
        <f>+H21+I21</f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2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v>5030000</v>
      </c>
      <c r="Y21" s="24">
        <f>170000+90000+10000+400000+100000+50000+10000+180000+265000+70000+230000+50000+110000+10000+120000+110000+320000+80000</f>
        <v>2375000</v>
      </c>
      <c r="Z21" s="24">
        <f>360000+260000+170000+10000+160000+60000+50000+1330000+270000+150000+120000+440000+170000+470000+930000+50000+230000+640000+900000+1850000</f>
        <v>8620000</v>
      </c>
      <c r="AA21" s="24">
        <f t="shared" si="4"/>
        <v>16025000</v>
      </c>
      <c r="AB21" s="56">
        <f t="shared" si="5"/>
        <v>16025000</v>
      </c>
      <c r="AC21" s="24">
        <f t="shared" si="5"/>
        <v>16025000</v>
      </c>
      <c r="AD21" s="26">
        <f t="shared" si="1"/>
        <v>35.611111111111114</v>
      </c>
    </row>
    <row r="22" spans="1:31" ht="15" customHeight="1" x14ac:dyDescent="0.25">
      <c r="A22" s="16"/>
      <c r="B22" s="22"/>
      <c r="C22" s="22">
        <v>112</v>
      </c>
      <c r="D22" s="22" t="s">
        <v>33</v>
      </c>
      <c r="E22" s="22">
        <v>30</v>
      </c>
      <c r="F22" s="22" t="s">
        <v>27</v>
      </c>
      <c r="G22" s="23" t="s">
        <v>34</v>
      </c>
      <c r="H22" s="24">
        <v>10000000</v>
      </c>
      <c r="I22" s="24">
        <v>0</v>
      </c>
      <c r="J22" s="24">
        <f>+H22+I22</f>
        <v>10000000</v>
      </c>
      <c r="K22" s="24"/>
      <c r="L22" s="24"/>
      <c r="M22" s="24"/>
      <c r="N22" s="24"/>
      <c r="O22" s="24">
        <f t="shared" si="2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/>
      <c r="AA22" s="24">
        <f t="shared" si="4"/>
        <v>0</v>
      </c>
      <c r="AB22" s="56">
        <f t="shared" si="5"/>
        <v>0</v>
      </c>
      <c r="AC22" s="24">
        <f t="shared" si="5"/>
        <v>0</v>
      </c>
      <c r="AD22" s="26">
        <f t="shared" si="1"/>
        <v>0</v>
      </c>
    </row>
    <row r="23" spans="1:31" ht="15" customHeight="1" x14ac:dyDescent="0.25">
      <c r="A23" s="16"/>
      <c r="B23" s="22"/>
      <c r="C23" s="22">
        <v>112</v>
      </c>
      <c r="D23" s="22" t="s">
        <v>35</v>
      </c>
      <c r="E23" s="22">
        <v>30</v>
      </c>
      <c r="F23" s="22" t="s">
        <v>27</v>
      </c>
      <c r="G23" s="23" t="s">
        <v>36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2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>
        <f t="shared" si="4"/>
        <v>0</v>
      </c>
      <c r="AB23" s="56">
        <f t="shared" si="5"/>
        <v>0</v>
      </c>
      <c r="AC23" s="24">
        <f t="shared" si="5"/>
        <v>0</v>
      </c>
      <c r="AD23" s="26">
        <f t="shared" si="1"/>
        <v>0</v>
      </c>
    </row>
    <row r="24" spans="1:31" ht="15" customHeight="1" x14ac:dyDescent="0.25">
      <c r="A24" s="16"/>
      <c r="B24" s="22"/>
      <c r="C24" s="22">
        <v>112</v>
      </c>
      <c r="D24" s="22" t="s">
        <v>37</v>
      </c>
      <c r="E24" s="22">
        <v>30</v>
      </c>
      <c r="F24" s="22" t="s">
        <v>27</v>
      </c>
      <c r="G24" s="23" t="s">
        <v>38</v>
      </c>
      <c r="H24" s="24">
        <v>3000000</v>
      </c>
      <c r="I24" s="24">
        <v>0</v>
      </c>
      <c r="J24" s="24">
        <f>+H24+I24</f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>
        <f t="shared" si="4"/>
        <v>0</v>
      </c>
      <c r="AB24" s="56">
        <f t="shared" si="5"/>
        <v>0</v>
      </c>
      <c r="AC24" s="24">
        <f t="shared" si="5"/>
        <v>0</v>
      </c>
      <c r="AD24" s="26">
        <f t="shared" si="1"/>
        <v>0</v>
      </c>
    </row>
    <row r="25" spans="1:31" ht="15" customHeight="1" x14ac:dyDescent="0.25">
      <c r="A25" s="16"/>
      <c r="B25" s="22"/>
      <c r="C25" s="22">
        <v>112</v>
      </c>
      <c r="D25" s="22" t="s">
        <v>39</v>
      </c>
      <c r="E25" s="22">
        <v>30</v>
      </c>
      <c r="F25" s="22" t="s">
        <v>27</v>
      </c>
      <c r="G25" s="23" t="s">
        <v>40</v>
      </c>
      <c r="H25" s="24">
        <v>1500000</v>
      </c>
      <c r="I25" s="24">
        <v>0</v>
      </c>
      <c r="J25" s="24">
        <f>+H25+I25</f>
        <v>1500000</v>
      </c>
      <c r="K25" s="24"/>
      <c r="L25" s="24"/>
      <c r="M25" s="24"/>
      <c r="N25" s="24"/>
      <c r="O25" s="24">
        <f t="shared" si="2"/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>
        <v>0</v>
      </c>
      <c r="Z25" s="24"/>
      <c r="AA25" s="24">
        <f t="shared" si="4"/>
        <v>0</v>
      </c>
      <c r="AB25" s="56">
        <f t="shared" si="5"/>
        <v>0</v>
      </c>
      <c r="AC25" s="24">
        <f t="shared" si="5"/>
        <v>0</v>
      </c>
      <c r="AD25" s="26">
        <f t="shared" si="1"/>
        <v>0</v>
      </c>
    </row>
    <row r="26" spans="1:31" s="20" customFormat="1" ht="15" customHeight="1" x14ac:dyDescent="0.3">
      <c r="A26" s="16"/>
      <c r="B26" s="16"/>
      <c r="C26" s="16">
        <v>113</v>
      </c>
      <c r="D26" s="16"/>
      <c r="E26" s="16"/>
      <c r="F26" s="16"/>
      <c r="G26" s="17" t="s">
        <v>41</v>
      </c>
      <c r="H26" s="18">
        <f t="shared" ref="H26:M26" si="14">SUM(H27:H34)</f>
        <v>85221929</v>
      </c>
      <c r="I26" s="18">
        <f t="shared" si="14"/>
        <v>0</v>
      </c>
      <c r="J26" s="18">
        <f t="shared" si="14"/>
        <v>85221929</v>
      </c>
      <c r="K26" s="18">
        <f t="shared" si="14"/>
        <v>2975200</v>
      </c>
      <c r="L26" s="18">
        <f t="shared" si="14"/>
        <v>3022100</v>
      </c>
      <c r="M26" s="18">
        <f t="shared" si="14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5">SUM(P27:P34)</f>
        <v>8253750</v>
      </c>
      <c r="Q26" s="18">
        <f t="shared" si="15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16">SUM(T27:T34)</f>
        <v>3131000</v>
      </c>
      <c r="U26" s="18">
        <f t="shared" ref="U26:W26" si="17">SUM(U27:U34)</f>
        <v>3168929</v>
      </c>
      <c r="V26" s="18">
        <f t="shared" si="17"/>
        <v>6775040</v>
      </c>
      <c r="W26" s="18">
        <f t="shared" si="17"/>
        <v>3976000</v>
      </c>
      <c r="X26" s="18">
        <v>17050969</v>
      </c>
      <c r="Y26" s="18">
        <f>+Y27+Y28+Y29+Y30+Y31+Y32+Y33+Y34</f>
        <v>4385509</v>
      </c>
      <c r="Z26" s="18">
        <f>+Z27+Z28+Z29+Z30+Z31+Z32+Z33+Z34</f>
        <v>4492770</v>
      </c>
      <c r="AA26" s="18">
        <f t="shared" si="4"/>
        <v>25929248</v>
      </c>
      <c r="AB26" s="55">
        <f t="shared" si="5"/>
        <v>25929248</v>
      </c>
      <c r="AC26" s="18">
        <f t="shared" si="5"/>
        <v>25929248</v>
      </c>
      <c r="AD26" s="19">
        <f t="shared" si="1"/>
        <v>30.425558661081233</v>
      </c>
      <c r="AE26" s="21"/>
    </row>
    <row r="27" spans="1:31" ht="15" customHeight="1" x14ac:dyDescent="0.25">
      <c r="A27" s="22"/>
      <c r="B27" s="22"/>
      <c r="C27" s="22">
        <v>113</v>
      </c>
      <c r="D27" s="22" t="s">
        <v>35</v>
      </c>
      <c r="E27" s="22">
        <v>30</v>
      </c>
      <c r="F27" s="22" t="s">
        <v>27</v>
      </c>
      <c r="G27" s="23" t="s">
        <v>42</v>
      </c>
      <c r="H27" s="24">
        <v>1500000</v>
      </c>
      <c r="I27" s="24">
        <v>0</v>
      </c>
      <c r="J27" s="24">
        <f t="shared" ref="J27:J34" si="18">+H27+I27</f>
        <v>1500000</v>
      </c>
      <c r="K27" s="24"/>
      <c r="L27" s="24"/>
      <c r="M27" s="24"/>
      <c r="N27" s="24"/>
      <c r="O27" s="24">
        <f t="shared" si="2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v>172500</v>
      </c>
      <c r="Y27" s="24">
        <v>0</v>
      </c>
      <c r="Z27" s="24"/>
      <c r="AA27" s="24">
        <f t="shared" si="4"/>
        <v>172500</v>
      </c>
      <c r="AB27" s="56">
        <f t="shared" si="5"/>
        <v>172500</v>
      </c>
      <c r="AC27" s="24">
        <f t="shared" si="5"/>
        <v>172500</v>
      </c>
      <c r="AD27" s="26">
        <f t="shared" si="1"/>
        <v>11.5</v>
      </c>
    </row>
    <row r="28" spans="1:31" ht="15" customHeight="1" x14ac:dyDescent="0.25">
      <c r="A28" s="22"/>
      <c r="B28" s="22"/>
      <c r="C28" s="22">
        <v>113</v>
      </c>
      <c r="D28" s="22" t="s">
        <v>43</v>
      </c>
      <c r="E28" s="22">
        <v>30</v>
      </c>
      <c r="F28" s="22" t="s">
        <v>27</v>
      </c>
      <c r="G28" s="23" t="s">
        <v>44</v>
      </c>
      <c r="H28" s="24">
        <v>35000000</v>
      </c>
      <c r="I28" s="24">
        <v>0</v>
      </c>
      <c r="J28" s="24">
        <f t="shared" si="18"/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2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v>7554254</v>
      </c>
      <c r="Y28" s="24">
        <f>54500+2500+5000+25000+28400+64300+5000+87500+5000+7500+59000+305860+1446699+32500+91800</f>
        <v>2220559</v>
      </c>
      <c r="Z28" s="24">
        <f>1849770+2500+35000+43400+104300+10000+2500+2500+5000+7500</f>
        <v>2062470</v>
      </c>
      <c r="AA28" s="24">
        <f t="shared" si="4"/>
        <v>11837283</v>
      </c>
      <c r="AB28" s="56">
        <f t="shared" si="5"/>
        <v>11837283</v>
      </c>
      <c r="AC28" s="24">
        <f t="shared" si="5"/>
        <v>11837283</v>
      </c>
      <c r="AD28" s="26">
        <f t="shared" si="1"/>
        <v>33.820808571428572</v>
      </c>
    </row>
    <row r="29" spans="1:31" ht="15" customHeight="1" x14ac:dyDescent="0.25">
      <c r="A29" s="22"/>
      <c r="B29" s="22"/>
      <c r="C29" s="22">
        <v>113</v>
      </c>
      <c r="D29" s="22" t="s">
        <v>45</v>
      </c>
      <c r="E29" s="22">
        <v>30</v>
      </c>
      <c r="F29" s="22" t="s">
        <v>27</v>
      </c>
      <c r="G29" s="23" t="s">
        <v>46</v>
      </c>
      <c r="H29" s="24">
        <v>5000000</v>
      </c>
      <c r="I29" s="24">
        <v>0</v>
      </c>
      <c r="J29" s="24">
        <f t="shared" si="18"/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2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v>344215</v>
      </c>
      <c r="Y29" s="24">
        <f>5100+10200+37040+162410+10200</f>
        <v>224950</v>
      </c>
      <c r="Z29" s="24">
        <f>200000+5100+10200</f>
        <v>215300</v>
      </c>
      <c r="AA29" s="24">
        <f t="shared" si="4"/>
        <v>784465</v>
      </c>
      <c r="AB29" s="56">
        <f t="shared" si="5"/>
        <v>784465</v>
      </c>
      <c r="AC29" s="24">
        <f t="shared" si="5"/>
        <v>784465</v>
      </c>
      <c r="AD29" s="26">
        <f t="shared" si="1"/>
        <v>15.689299999999999</v>
      </c>
    </row>
    <row r="30" spans="1:31" ht="15" customHeight="1" x14ac:dyDescent="0.25">
      <c r="A30" s="22"/>
      <c r="B30" s="22"/>
      <c r="C30" s="22">
        <v>113</v>
      </c>
      <c r="D30" s="22" t="s">
        <v>47</v>
      </c>
      <c r="E30" s="22">
        <v>30</v>
      </c>
      <c r="F30" s="22" t="s">
        <v>27</v>
      </c>
      <c r="G30" s="23" t="s">
        <v>48</v>
      </c>
      <c r="H30" s="24">
        <v>29721929</v>
      </c>
      <c r="I30" s="24">
        <v>0</v>
      </c>
      <c r="J30" s="24">
        <f t="shared" si="18"/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2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v>7386000</v>
      </c>
      <c r="Y30" s="24">
        <f>62000+68000+68000+55000+89000+68000+49000+68000+58000+55000+160000+68000+68000+49000+38000+68000+58000+51000+58000+58000+103000+68000+68000+68000</f>
        <v>1623000</v>
      </c>
      <c r="Z30" s="24">
        <f>49000+68000+108000+58000+55000+54000+68000+58000+136000+68000+68000+55000+68000+98000+68000+58000+112000+62000+82000+68000+58000+68000+39000+58000</f>
        <v>1684000</v>
      </c>
      <c r="AA30" s="24">
        <f t="shared" si="4"/>
        <v>10693000</v>
      </c>
      <c r="AB30" s="56">
        <f t="shared" si="5"/>
        <v>10693000</v>
      </c>
      <c r="AC30" s="24">
        <f t="shared" si="5"/>
        <v>10693000</v>
      </c>
      <c r="AD30" s="26">
        <f t="shared" si="1"/>
        <v>35.976803524428043</v>
      </c>
    </row>
    <row r="31" spans="1:31" ht="15" customHeight="1" x14ac:dyDescent="0.25">
      <c r="A31" s="22"/>
      <c r="B31" s="22"/>
      <c r="C31" s="22">
        <v>113</v>
      </c>
      <c r="D31" s="22" t="s">
        <v>49</v>
      </c>
      <c r="E31" s="22">
        <v>30</v>
      </c>
      <c r="F31" s="22" t="s">
        <v>27</v>
      </c>
      <c r="G31" s="23" t="s">
        <v>50</v>
      </c>
      <c r="H31" s="24">
        <v>2000000</v>
      </c>
      <c r="I31" s="24">
        <v>0</v>
      </c>
      <c r="J31" s="24">
        <f t="shared" si="18"/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v>25500</v>
      </c>
      <c r="Y31" s="24">
        <v>0</v>
      </c>
      <c r="Z31" s="24">
        <v>8500</v>
      </c>
      <c r="AA31" s="24">
        <f t="shared" si="4"/>
        <v>34000</v>
      </c>
      <c r="AB31" s="56">
        <f t="shared" si="5"/>
        <v>34000</v>
      </c>
      <c r="AC31" s="24">
        <f t="shared" si="5"/>
        <v>34000</v>
      </c>
      <c r="AD31" s="26">
        <f t="shared" si="1"/>
        <v>1.7</v>
      </c>
    </row>
    <row r="32" spans="1:31" ht="15" customHeight="1" x14ac:dyDescent="0.25">
      <c r="A32" s="22"/>
      <c r="B32" s="22"/>
      <c r="C32" s="22">
        <v>113</v>
      </c>
      <c r="D32" s="22" t="s">
        <v>51</v>
      </c>
      <c r="E32" s="22">
        <v>30</v>
      </c>
      <c r="F32" s="22" t="s">
        <v>27</v>
      </c>
      <c r="G32" s="23" t="s">
        <v>52</v>
      </c>
      <c r="H32" s="24">
        <v>7000000</v>
      </c>
      <c r="I32" s="24">
        <v>0</v>
      </c>
      <c r="J32" s="24">
        <f t="shared" si="18"/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2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76000+69500+12500+24500+29500+16000+15000+22500+18000+48500+17500+7500+20000+23500+17500+20000+17000+7500+10000+11000+10000+10000+9500+1000+12000</f>
        <v>526000</v>
      </c>
      <c r="X32" s="24">
        <v>1568500</v>
      </c>
      <c r="Y32" s="24">
        <f>42500+10500+15000+25000+11000+11500+3500+7500+22500+3500+26500+12000+20000+2500+5000+3500+5000+4500+17000+17500+7500+20000+21000+2500</f>
        <v>317000</v>
      </c>
      <c r="Z32" s="24">
        <f>18500+12500+11000+12500+7500+2500+2500+70000+30000+15000+2500+5000+5000+20500+25000+8500+34500+46000+5000+17500+33500+40000+97500</f>
        <v>522500</v>
      </c>
      <c r="AA32" s="24">
        <f t="shared" si="4"/>
        <v>2408000</v>
      </c>
      <c r="AB32" s="56">
        <f t="shared" si="5"/>
        <v>2408000</v>
      </c>
      <c r="AC32" s="24">
        <f t="shared" si="5"/>
        <v>2408000</v>
      </c>
      <c r="AD32" s="26">
        <f t="shared" si="1"/>
        <v>34.4</v>
      </c>
    </row>
    <row r="33" spans="1:31" ht="15" customHeight="1" x14ac:dyDescent="0.25">
      <c r="A33" s="22"/>
      <c r="B33" s="22"/>
      <c r="C33" s="22">
        <v>113</v>
      </c>
      <c r="D33" s="22" t="s">
        <v>53</v>
      </c>
      <c r="E33" s="22">
        <v>30</v>
      </c>
      <c r="F33" s="22" t="s">
        <v>27</v>
      </c>
      <c r="G33" s="23" t="s">
        <v>54</v>
      </c>
      <c r="H33" s="24">
        <v>1000000</v>
      </c>
      <c r="I33" s="24">
        <v>0</v>
      </c>
      <c r="J33" s="24">
        <f t="shared" si="18"/>
        <v>1000000</v>
      </c>
      <c r="K33" s="24"/>
      <c r="L33" s="24"/>
      <c r="M33" s="24"/>
      <c r="N33" s="24"/>
      <c r="O33" s="24">
        <f t="shared" si="2"/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>
        <v>0</v>
      </c>
      <c r="Z33" s="24"/>
      <c r="AA33" s="24">
        <f t="shared" si="4"/>
        <v>0</v>
      </c>
      <c r="AB33" s="56">
        <f t="shared" si="5"/>
        <v>0</v>
      </c>
      <c r="AC33" s="24">
        <f t="shared" si="5"/>
        <v>0</v>
      </c>
      <c r="AD33" s="26">
        <f t="shared" si="1"/>
        <v>0</v>
      </c>
    </row>
    <row r="34" spans="1:31" ht="15" customHeight="1" x14ac:dyDescent="0.25">
      <c r="A34" s="22"/>
      <c r="B34" s="22"/>
      <c r="C34" s="22">
        <v>113</v>
      </c>
      <c r="D34" s="22" t="s">
        <v>55</v>
      </c>
      <c r="E34" s="22">
        <v>30</v>
      </c>
      <c r="F34" s="22" t="s">
        <v>27</v>
      </c>
      <c r="G34" s="23" t="s">
        <v>56</v>
      </c>
      <c r="H34" s="24">
        <v>4000000</v>
      </c>
      <c r="I34" s="24">
        <v>0</v>
      </c>
      <c r="J34" s="24">
        <f t="shared" si="18"/>
        <v>4000000</v>
      </c>
      <c r="K34" s="24"/>
      <c r="L34" s="24"/>
      <c r="M34" s="24"/>
      <c r="N34" s="24"/>
      <c r="O34" s="24">
        <f t="shared" si="2"/>
        <v>0</v>
      </c>
      <c r="P34" s="24"/>
      <c r="Q34" s="24"/>
      <c r="R34" s="24"/>
      <c r="S34" s="24"/>
      <c r="T34" s="24"/>
      <c r="U34" s="24"/>
      <c r="V34" s="24"/>
      <c r="W34" s="24"/>
      <c r="X34" s="24">
        <v>0</v>
      </c>
      <c r="Y34" s="24">
        <v>0</v>
      </c>
      <c r="Z34" s="24"/>
      <c r="AA34" s="24">
        <f t="shared" si="4"/>
        <v>0</v>
      </c>
      <c r="AB34" s="56">
        <f t="shared" si="5"/>
        <v>0</v>
      </c>
      <c r="AC34" s="24">
        <f t="shared" si="5"/>
        <v>0</v>
      </c>
      <c r="AD34" s="26">
        <f t="shared" si="1"/>
        <v>0</v>
      </c>
    </row>
    <row r="35" spans="1:31" s="20" customFormat="1" ht="15" customHeight="1" x14ac:dyDescent="0.3">
      <c r="A35" s="16"/>
      <c r="B35" s="16"/>
      <c r="C35" s="16">
        <v>119</v>
      </c>
      <c r="D35" s="16"/>
      <c r="E35" s="16"/>
      <c r="F35" s="16"/>
      <c r="G35" s="17" t="s">
        <v>57</v>
      </c>
      <c r="H35" s="18">
        <f t="shared" ref="H35:M35" si="19">SUM(H36:H38)</f>
        <v>21500000</v>
      </c>
      <c r="I35" s="18">
        <f t="shared" si="19"/>
        <v>0</v>
      </c>
      <c r="J35" s="18">
        <f t="shared" si="19"/>
        <v>21500000</v>
      </c>
      <c r="K35" s="18">
        <f t="shared" si="19"/>
        <v>5000</v>
      </c>
      <c r="L35" s="18">
        <f t="shared" si="19"/>
        <v>86805</v>
      </c>
      <c r="M35" s="18">
        <f t="shared" si="19"/>
        <v>256077</v>
      </c>
      <c r="N35" s="18">
        <f>+N36+N37+N38</f>
        <v>510466</v>
      </c>
      <c r="O35" s="18">
        <f t="shared" si="2"/>
        <v>858348</v>
      </c>
      <c r="P35" s="18">
        <f t="shared" ref="P35:Q35" si="20">SUM(P36:P38)</f>
        <v>316499</v>
      </c>
      <c r="Q35" s="18">
        <f t="shared" si="20"/>
        <v>1863013</v>
      </c>
      <c r="R35" s="18">
        <f>+R36+R37+R38</f>
        <v>653000</v>
      </c>
      <c r="S35" s="18">
        <f>+S36+S37+S38</f>
        <v>221899</v>
      </c>
      <c r="T35" s="18">
        <f t="shared" ref="T35" si="21">SUM(T36:T38)</f>
        <v>134981</v>
      </c>
      <c r="U35" s="18">
        <f t="shared" ref="U35:W35" si="22">SUM(U36:U38)</f>
        <v>136000</v>
      </c>
      <c r="V35" s="18">
        <f t="shared" si="22"/>
        <v>203225</v>
      </c>
      <c r="W35" s="18">
        <f t="shared" si="22"/>
        <v>259486</v>
      </c>
      <c r="X35" s="18">
        <v>733692</v>
      </c>
      <c r="Y35" s="18">
        <f>+Y36+Y37+Y38</f>
        <v>585703</v>
      </c>
      <c r="Z35" s="18">
        <f>+Z36+Z37+Z38</f>
        <v>931049</v>
      </c>
      <c r="AA35" s="18">
        <f t="shared" si="4"/>
        <v>2250444</v>
      </c>
      <c r="AB35" s="55">
        <f t="shared" si="5"/>
        <v>2250444</v>
      </c>
      <c r="AC35" s="18">
        <f t="shared" si="5"/>
        <v>2250444</v>
      </c>
      <c r="AD35" s="19">
        <f t="shared" si="1"/>
        <v>10.467181395348836</v>
      </c>
      <c r="AE35" s="15"/>
    </row>
    <row r="36" spans="1:31" ht="15" customHeight="1" x14ac:dyDescent="0.25">
      <c r="A36" s="22"/>
      <c r="B36" s="22"/>
      <c r="C36" s="22">
        <v>119</v>
      </c>
      <c r="D36" s="22" t="s">
        <v>29</v>
      </c>
      <c r="E36" s="22">
        <v>30</v>
      </c>
      <c r="F36" s="22" t="s">
        <v>27</v>
      </c>
      <c r="G36" s="23" t="s">
        <v>58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>
        <v>0</v>
      </c>
      <c r="Y36" s="24">
        <v>0</v>
      </c>
      <c r="Z36" s="24"/>
      <c r="AA36" s="24">
        <f t="shared" si="4"/>
        <v>0</v>
      </c>
      <c r="AB36" s="56">
        <f t="shared" si="5"/>
        <v>0</v>
      </c>
      <c r="AC36" s="24">
        <f t="shared" si="5"/>
        <v>0</v>
      </c>
      <c r="AD36" s="26">
        <f t="shared" si="1"/>
        <v>0</v>
      </c>
    </row>
    <row r="37" spans="1:31" ht="15" customHeight="1" x14ac:dyDescent="0.25">
      <c r="A37" s="22"/>
      <c r="B37" s="22"/>
      <c r="C37" s="22">
        <v>119</v>
      </c>
      <c r="D37" s="22" t="s">
        <v>37</v>
      </c>
      <c r="E37" s="22">
        <v>30</v>
      </c>
      <c r="F37" s="22" t="s">
        <v>27</v>
      </c>
      <c r="G37" s="23" t="s">
        <v>59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2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v>161692</v>
      </c>
      <c r="Y37" s="24">
        <f>76098+64630+73895+133580</f>
        <v>348203</v>
      </c>
      <c r="Z37" s="24">
        <f>40252+28797</f>
        <v>69049</v>
      </c>
      <c r="AA37" s="24">
        <f t="shared" si="4"/>
        <v>578944</v>
      </c>
      <c r="AB37" s="56">
        <f t="shared" si="5"/>
        <v>578944</v>
      </c>
      <c r="AC37" s="24">
        <f t="shared" si="5"/>
        <v>578944</v>
      </c>
      <c r="AD37" s="26">
        <f t="shared" si="1"/>
        <v>3.7351225806451613</v>
      </c>
    </row>
    <row r="38" spans="1:31" ht="15" customHeight="1" x14ac:dyDescent="0.25">
      <c r="A38" s="22"/>
      <c r="B38" s="22"/>
      <c r="C38" s="22">
        <v>119</v>
      </c>
      <c r="D38" s="22" t="s">
        <v>60</v>
      </c>
      <c r="E38" s="22">
        <v>30</v>
      </c>
      <c r="F38" s="22" t="s">
        <v>27</v>
      </c>
      <c r="G38" s="23" t="s">
        <v>61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2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v>572000</v>
      </c>
      <c r="Y38" s="24">
        <f>17000+9000+1000+40000+10000+5000+1000+18000+26500+7000+23000+5000+11000+1000+12000+11000+32000+8000</f>
        <v>237500</v>
      </c>
      <c r="Z38" s="24">
        <f>36000+26000+17000+1000+16000+6000+5000+133000+27000+15000+12000+44000+17000+47000+93000+5000+23000+64000+90000+185000</f>
        <v>862000</v>
      </c>
      <c r="AA38" s="24">
        <f t="shared" si="4"/>
        <v>1671500</v>
      </c>
      <c r="AB38" s="56">
        <f t="shared" si="5"/>
        <v>1671500</v>
      </c>
      <c r="AC38" s="24">
        <f t="shared" si="5"/>
        <v>1671500</v>
      </c>
      <c r="AD38" s="26">
        <f t="shared" si="1"/>
        <v>37.144444444444446</v>
      </c>
    </row>
    <row r="39" spans="1:31" s="20" customFormat="1" ht="15" customHeight="1" x14ac:dyDescent="0.3">
      <c r="A39" s="16"/>
      <c r="B39" s="16">
        <v>130</v>
      </c>
      <c r="C39" s="16"/>
      <c r="D39" s="16"/>
      <c r="E39" s="16"/>
      <c r="F39" s="16"/>
      <c r="G39" s="17" t="s">
        <v>62</v>
      </c>
      <c r="H39" s="18">
        <f t="shared" ref="H39:N39" si="23">+H40</f>
        <v>21208071</v>
      </c>
      <c r="I39" s="18">
        <f t="shared" si="23"/>
        <v>0</v>
      </c>
      <c r="J39" s="18">
        <f t="shared" si="23"/>
        <v>21208071</v>
      </c>
      <c r="K39" s="18">
        <f t="shared" si="23"/>
        <v>431400</v>
      </c>
      <c r="L39" s="18">
        <f t="shared" si="23"/>
        <v>340000</v>
      </c>
      <c r="M39" s="18">
        <f t="shared" si="23"/>
        <v>768950</v>
      </c>
      <c r="N39" s="18">
        <f t="shared" si="23"/>
        <v>724000</v>
      </c>
      <c r="O39" s="18">
        <f t="shared" si="2"/>
        <v>2264350</v>
      </c>
      <c r="P39" s="18">
        <f t="shared" ref="P39:Q39" si="24">+P40</f>
        <v>857500</v>
      </c>
      <c r="Q39" s="18">
        <f t="shared" si="24"/>
        <v>3095000</v>
      </c>
      <c r="R39" s="18">
        <f>+R40</f>
        <v>1635000</v>
      </c>
      <c r="S39" s="18">
        <f>+S40</f>
        <v>553000</v>
      </c>
      <c r="T39" s="18">
        <f t="shared" ref="T39:V39" si="25">+T40</f>
        <v>560000</v>
      </c>
      <c r="U39" s="18">
        <f t="shared" si="25"/>
        <v>525000</v>
      </c>
      <c r="V39" s="18">
        <f t="shared" si="25"/>
        <v>475000</v>
      </c>
      <c r="W39" s="18">
        <f>+W40</f>
        <v>935000</v>
      </c>
      <c r="X39" s="18">
        <v>2495000</v>
      </c>
      <c r="Y39" s="18">
        <f>+Y40</f>
        <v>590000</v>
      </c>
      <c r="Z39" s="18">
        <f>+Z40</f>
        <v>1690000</v>
      </c>
      <c r="AA39" s="18">
        <f t="shared" si="4"/>
        <v>4775000</v>
      </c>
      <c r="AB39" s="55">
        <f t="shared" si="5"/>
        <v>4775000</v>
      </c>
      <c r="AC39" s="18">
        <f t="shared" si="5"/>
        <v>4775000</v>
      </c>
      <c r="AD39" s="19">
        <f t="shared" si="1"/>
        <v>22.51501327018379</v>
      </c>
      <c r="AE39" s="15"/>
    </row>
    <row r="40" spans="1:31" ht="15" customHeight="1" x14ac:dyDescent="0.35">
      <c r="A40" s="16"/>
      <c r="B40" s="22"/>
      <c r="C40" s="22">
        <v>132</v>
      </c>
      <c r="D40" s="22"/>
      <c r="E40" s="22"/>
      <c r="F40" s="22"/>
      <c r="G40" s="17" t="s">
        <v>63</v>
      </c>
      <c r="H40" s="27">
        <f t="shared" ref="H40:M40" si="26">SUM(H41:H49)</f>
        <v>21208071</v>
      </c>
      <c r="I40" s="27">
        <f t="shared" si="26"/>
        <v>0</v>
      </c>
      <c r="J40" s="27">
        <f t="shared" si="26"/>
        <v>21208071</v>
      </c>
      <c r="K40" s="27">
        <f t="shared" si="26"/>
        <v>431400</v>
      </c>
      <c r="L40" s="27">
        <f t="shared" si="26"/>
        <v>340000</v>
      </c>
      <c r="M40" s="27">
        <f t="shared" si="26"/>
        <v>768950</v>
      </c>
      <c r="N40" s="27">
        <f>+N41+N42+N43+N44+N45+N46+N47+N48+N49</f>
        <v>724000</v>
      </c>
      <c r="O40" s="18">
        <f t="shared" si="2"/>
        <v>2264350</v>
      </c>
      <c r="P40" s="27">
        <f t="shared" ref="P40:Q40" si="27">SUM(P41:P49)</f>
        <v>857500</v>
      </c>
      <c r="Q40" s="27">
        <f t="shared" si="27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28">SUM(T41:T49)</f>
        <v>560000</v>
      </c>
      <c r="U40" s="27">
        <f t="shared" ref="U40:W40" si="29">SUM(U41:U49)</f>
        <v>525000</v>
      </c>
      <c r="V40" s="27">
        <f t="shared" si="29"/>
        <v>475000</v>
      </c>
      <c r="W40" s="27">
        <f t="shared" si="29"/>
        <v>935000</v>
      </c>
      <c r="X40" s="27">
        <v>2495000</v>
      </c>
      <c r="Y40" s="27">
        <f>+Y41+Y42+Y43+Y44+Y45+Y46+Y47+Y48+Y49</f>
        <v>590000</v>
      </c>
      <c r="Z40" s="27">
        <f>+Z41+Z42+Z43+Z44+Z45+Z46+Z47+Z48+Z49</f>
        <v>1690000</v>
      </c>
      <c r="AA40" s="18">
        <f>+X40+Y40+Z40</f>
        <v>4775000</v>
      </c>
      <c r="AB40" s="55">
        <f t="shared" si="5"/>
        <v>4775000</v>
      </c>
      <c r="AC40" s="18">
        <f t="shared" si="5"/>
        <v>4775000</v>
      </c>
      <c r="AD40" s="19">
        <f t="shared" si="1"/>
        <v>22.51501327018379</v>
      </c>
    </row>
    <row r="41" spans="1:31" ht="15" customHeight="1" x14ac:dyDescent="0.25">
      <c r="A41" s="22"/>
      <c r="B41" s="22"/>
      <c r="C41" s="22">
        <v>132</v>
      </c>
      <c r="D41" s="22" t="s">
        <v>64</v>
      </c>
      <c r="E41" s="22">
        <v>30</v>
      </c>
      <c r="F41" s="22" t="s">
        <v>27</v>
      </c>
      <c r="G41" s="23" t="s">
        <v>65</v>
      </c>
      <c r="H41" s="24">
        <v>2208071</v>
      </c>
      <c r="I41" s="24">
        <v>0</v>
      </c>
      <c r="J41" s="24">
        <f t="shared" ref="J41:J49" si="30"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2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v>15000</v>
      </c>
      <c r="Y41" s="24">
        <v>0</v>
      </c>
      <c r="Z41" s="24"/>
      <c r="AA41" s="24">
        <f t="shared" si="4"/>
        <v>15000</v>
      </c>
      <c r="AB41" s="56">
        <f t="shared" si="5"/>
        <v>15000</v>
      </c>
      <c r="AC41" s="24">
        <f t="shared" si="5"/>
        <v>15000</v>
      </c>
      <c r="AD41" s="26">
        <f t="shared" si="1"/>
        <v>0.67932598181851944</v>
      </c>
    </row>
    <row r="42" spans="1:31" ht="15" customHeight="1" x14ac:dyDescent="0.25">
      <c r="A42" s="22"/>
      <c r="B42" s="22"/>
      <c r="C42" s="22">
        <v>132</v>
      </c>
      <c r="D42" s="22" t="s">
        <v>66</v>
      </c>
      <c r="E42" s="22">
        <v>30</v>
      </c>
      <c r="F42" s="22" t="s">
        <v>27</v>
      </c>
      <c r="G42" s="23" t="s">
        <v>67</v>
      </c>
      <c r="H42" s="24">
        <v>1500000</v>
      </c>
      <c r="I42" s="24">
        <v>0</v>
      </c>
      <c r="J42" s="24">
        <f t="shared" si="30"/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2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v>60000</v>
      </c>
      <c r="Y42" s="24">
        <f>10000+5000+5000</f>
        <v>20000</v>
      </c>
      <c r="Z42" s="24"/>
      <c r="AA42" s="24">
        <f t="shared" si="4"/>
        <v>80000</v>
      </c>
      <c r="AB42" s="56">
        <f t="shared" si="5"/>
        <v>80000</v>
      </c>
      <c r="AC42" s="24">
        <f t="shared" si="5"/>
        <v>80000</v>
      </c>
      <c r="AD42" s="26">
        <f t="shared" si="1"/>
        <v>5.333333333333333</v>
      </c>
    </row>
    <row r="43" spans="1:31" ht="15" customHeight="1" x14ac:dyDescent="0.25">
      <c r="A43" s="22"/>
      <c r="B43" s="22"/>
      <c r="C43" s="22">
        <v>132</v>
      </c>
      <c r="D43" s="22" t="s">
        <v>68</v>
      </c>
      <c r="E43" s="22">
        <v>30</v>
      </c>
      <c r="F43" s="22" t="s">
        <v>27</v>
      </c>
      <c r="G43" s="23" t="s">
        <v>69</v>
      </c>
      <c r="H43" s="24">
        <v>1500000</v>
      </c>
      <c r="I43" s="24">
        <v>0</v>
      </c>
      <c r="J43" s="24">
        <f t="shared" si="30"/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v>310000</v>
      </c>
      <c r="Y43" s="24">
        <f>10000+10000+15000+15000+10000</f>
        <v>60000</v>
      </c>
      <c r="Z43" s="24">
        <f>10000+15000+15000</f>
        <v>40000</v>
      </c>
      <c r="AA43" s="24">
        <f t="shared" si="4"/>
        <v>410000</v>
      </c>
      <c r="AB43" s="56">
        <f t="shared" si="5"/>
        <v>410000</v>
      </c>
      <c r="AC43" s="24">
        <f t="shared" si="5"/>
        <v>410000</v>
      </c>
      <c r="AD43" s="26">
        <f t="shared" si="1"/>
        <v>27.333333333333332</v>
      </c>
    </row>
    <row r="44" spans="1:31" ht="15" customHeight="1" x14ac:dyDescent="0.25">
      <c r="A44" s="22"/>
      <c r="B44" s="22"/>
      <c r="C44" s="22">
        <v>132</v>
      </c>
      <c r="D44" s="22" t="s">
        <v>70</v>
      </c>
      <c r="E44" s="22">
        <v>30</v>
      </c>
      <c r="F44" s="22" t="s">
        <v>27</v>
      </c>
      <c r="G44" s="23" t="s">
        <v>71</v>
      </c>
      <c r="H44" s="24">
        <v>1000000</v>
      </c>
      <c r="I44" s="24">
        <v>0</v>
      </c>
      <c r="J44" s="24">
        <f t="shared" si="30"/>
        <v>1000000</v>
      </c>
      <c r="K44" s="24"/>
      <c r="L44" s="24"/>
      <c r="M44" s="24"/>
      <c r="N44" s="24">
        <f>10000+4000</f>
        <v>14000</v>
      </c>
      <c r="O44" s="24">
        <f t="shared" si="2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/>
      <c r="AA44" s="24">
        <f t="shared" si="4"/>
        <v>0</v>
      </c>
      <c r="AB44" s="56">
        <f t="shared" si="5"/>
        <v>0</v>
      </c>
      <c r="AC44" s="24">
        <f t="shared" si="5"/>
        <v>0</v>
      </c>
      <c r="AD44" s="26">
        <f t="shared" si="1"/>
        <v>0</v>
      </c>
    </row>
    <row r="45" spans="1:31" ht="15" customHeight="1" x14ac:dyDescent="0.25">
      <c r="A45" s="22"/>
      <c r="B45" s="22"/>
      <c r="C45" s="22">
        <v>132</v>
      </c>
      <c r="D45" s="22" t="s">
        <v>72</v>
      </c>
      <c r="E45" s="22">
        <v>30</v>
      </c>
      <c r="F45" s="22" t="s">
        <v>27</v>
      </c>
      <c r="G45" s="23" t="s">
        <v>73</v>
      </c>
      <c r="H45" s="24">
        <v>2000000</v>
      </c>
      <c r="I45" s="24">
        <v>0</v>
      </c>
      <c r="J45" s="24">
        <f t="shared" si="30"/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2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v>490000</v>
      </c>
      <c r="Y45" s="24">
        <f>10000+5000+15000+5000+5000</f>
        <v>40000</v>
      </c>
      <c r="Z45" s="24">
        <f>10000+5000+5000+10000+5000</f>
        <v>35000</v>
      </c>
      <c r="AA45" s="24">
        <f t="shared" si="4"/>
        <v>565000</v>
      </c>
      <c r="AB45" s="56">
        <f t="shared" si="5"/>
        <v>565000</v>
      </c>
      <c r="AC45" s="24">
        <f t="shared" si="5"/>
        <v>565000</v>
      </c>
      <c r="AD45" s="26">
        <f t="shared" si="1"/>
        <v>28.25</v>
      </c>
    </row>
    <row r="46" spans="1:31" ht="15" customHeight="1" x14ac:dyDescent="0.25">
      <c r="A46" s="22"/>
      <c r="B46" s="22"/>
      <c r="C46" s="22">
        <v>132</v>
      </c>
      <c r="D46" s="22" t="s">
        <v>74</v>
      </c>
      <c r="E46" s="22">
        <v>30</v>
      </c>
      <c r="F46" s="22" t="s">
        <v>27</v>
      </c>
      <c r="G46" s="23" t="s">
        <v>75</v>
      </c>
      <c r="H46" s="24">
        <v>4000000</v>
      </c>
      <c r="I46" s="24">
        <v>0</v>
      </c>
      <c r="J46" s="24">
        <f t="shared" si="30"/>
        <v>4000000</v>
      </c>
      <c r="K46" s="24"/>
      <c r="L46" s="24"/>
      <c r="M46" s="24"/>
      <c r="N46" s="24"/>
      <c r="O46" s="24">
        <f t="shared" si="2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/>
      <c r="AA46" s="24">
        <f t="shared" si="4"/>
        <v>0</v>
      </c>
      <c r="AB46" s="56">
        <f t="shared" si="5"/>
        <v>0</v>
      </c>
      <c r="AC46" s="24">
        <f t="shared" si="5"/>
        <v>0</v>
      </c>
      <c r="AD46" s="26">
        <f t="shared" si="1"/>
        <v>0</v>
      </c>
    </row>
    <row r="47" spans="1:31" ht="15" customHeight="1" x14ac:dyDescent="0.25">
      <c r="A47" s="22"/>
      <c r="B47" s="22"/>
      <c r="C47" s="22">
        <v>132</v>
      </c>
      <c r="D47" s="22" t="s">
        <v>76</v>
      </c>
      <c r="E47" s="22">
        <v>30</v>
      </c>
      <c r="F47" s="22" t="s">
        <v>27</v>
      </c>
      <c r="G47" s="23" t="s">
        <v>77</v>
      </c>
      <c r="H47" s="24">
        <v>3000000</v>
      </c>
      <c r="I47" s="24">
        <v>0</v>
      </c>
      <c r="J47" s="24">
        <f t="shared" si="30"/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2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v>490000</v>
      </c>
      <c r="Y47" s="24">
        <f>10000+5000+15000+5000+5000</f>
        <v>40000</v>
      </c>
      <c r="Z47" s="24">
        <f>10000+5000+5000+10000+5000</f>
        <v>35000</v>
      </c>
      <c r="AA47" s="24">
        <f t="shared" si="4"/>
        <v>565000</v>
      </c>
      <c r="AB47" s="56">
        <f t="shared" si="5"/>
        <v>565000</v>
      </c>
      <c r="AC47" s="24">
        <f t="shared" si="5"/>
        <v>565000</v>
      </c>
      <c r="AD47" s="26">
        <f t="shared" ref="AD47:AD78" si="31">+AA47*100/J47</f>
        <v>18.833333333333332</v>
      </c>
    </row>
    <row r="48" spans="1:31" ht="15" customHeight="1" x14ac:dyDescent="0.25">
      <c r="A48" s="22"/>
      <c r="B48" s="22"/>
      <c r="C48" s="22">
        <v>132</v>
      </c>
      <c r="D48" s="22" t="s">
        <v>78</v>
      </c>
      <c r="E48" s="22">
        <v>30</v>
      </c>
      <c r="F48" s="22" t="s">
        <v>27</v>
      </c>
      <c r="G48" s="23" t="s">
        <v>79</v>
      </c>
      <c r="H48" s="24">
        <v>1000000</v>
      </c>
      <c r="I48" s="24">
        <v>0</v>
      </c>
      <c r="J48" s="24">
        <f t="shared" si="30"/>
        <v>1000000</v>
      </c>
      <c r="K48" s="24"/>
      <c r="L48" s="24"/>
      <c r="M48" s="24"/>
      <c r="N48" s="24"/>
      <c r="O48" s="24">
        <f t="shared" si="2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138</v>
      </c>
      <c r="X48" s="24">
        <v>0</v>
      </c>
      <c r="Y48" s="24">
        <v>0</v>
      </c>
      <c r="Z48" s="24"/>
      <c r="AA48" s="24">
        <f t="shared" si="4"/>
        <v>0</v>
      </c>
      <c r="AB48" s="56">
        <f t="shared" si="5"/>
        <v>0</v>
      </c>
      <c r="AC48" s="24">
        <f t="shared" si="5"/>
        <v>0</v>
      </c>
      <c r="AD48" s="26">
        <f t="shared" si="31"/>
        <v>0</v>
      </c>
    </row>
    <row r="49" spans="1:34" ht="15" customHeight="1" x14ac:dyDescent="0.25">
      <c r="A49" s="22"/>
      <c r="B49" s="22"/>
      <c r="C49" s="22">
        <v>132</v>
      </c>
      <c r="D49" s="22" t="s">
        <v>80</v>
      </c>
      <c r="E49" s="22">
        <v>30</v>
      </c>
      <c r="F49" s="22" t="s">
        <v>27</v>
      </c>
      <c r="G49" s="23" t="s">
        <v>81</v>
      </c>
      <c r="H49" s="24">
        <v>5000000</v>
      </c>
      <c r="I49" s="24">
        <v>0</v>
      </c>
      <c r="J49" s="24">
        <f t="shared" si="30"/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2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v>1130000</v>
      </c>
      <c r="Y49" s="24">
        <f>20000+10000+10000+80000+20000+10000+10000+40000+40000+20000+50000+10000+10000+10000+20000+10000+50000+10000</f>
        <v>430000</v>
      </c>
      <c r="Z49" s="24">
        <f>50000+50000+30000+10000+20000+10000+10000+220000+70000+40000+30000+80000+30000+90000+180000+10000+50000+110000+160000+330000</f>
        <v>1580000</v>
      </c>
      <c r="AA49" s="24">
        <f t="shared" si="4"/>
        <v>3140000</v>
      </c>
      <c r="AB49" s="56">
        <f t="shared" si="5"/>
        <v>3140000</v>
      </c>
      <c r="AC49" s="24">
        <f t="shared" si="5"/>
        <v>3140000</v>
      </c>
      <c r="AD49" s="26">
        <f t="shared" si="31"/>
        <v>62.8</v>
      </c>
    </row>
    <row r="50" spans="1:34" s="20" customFormat="1" ht="15" customHeight="1" x14ac:dyDescent="0.3">
      <c r="A50" s="16"/>
      <c r="B50" s="16">
        <v>140</v>
      </c>
      <c r="C50" s="16"/>
      <c r="D50" s="16"/>
      <c r="E50" s="16"/>
      <c r="F50" s="16"/>
      <c r="G50" s="17" t="s">
        <v>82</v>
      </c>
      <c r="H50" s="18">
        <f t="shared" ref="H50:N50" si="32">+H51+H56</f>
        <v>38500000</v>
      </c>
      <c r="I50" s="18">
        <f t="shared" si="32"/>
        <v>0</v>
      </c>
      <c r="J50" s="18">
        <f t="shared" si="32"/>
        <v>38500000</v>
      </c>
      <c r="K50" s="18">
        <f t="shared" si="32"/>
        <v>1137900</v>
      </c>
      <c r="L50" s="18">
        <f t="shared" si="32"/>
        <v>1074500</v>
      </c>
      <c r="M50" s="18">
        <f t="shared" si="32"/>
        <v>1717000</v>
      </c>
      <c r="N50" s="18">
        <f t="shared" si="32"/>
        <v>2039000</v>
      </c>
      <c r="O50" s="18">
        <f>+K50+L50+M50+N50</f>
        <v>5968400</v>
      </c>
      <c r="P50" s="18">
        <f t="shared" ref="P50:Q50" si="33">+P51+P56</f>
        <v>1624500</v>
      </c>
      <c r="Q50" s="18">
        <f t="shared" si="33"/>
        <v>5840000</v>
      </c>
      <c r="R50" s="18">
        <f>+R51+R56</f>
        <v>3540500</v>
      </c>
      <c r="S50" s="18">
        <f>+S51+S56</f>
        <v>1071000</v>
      </c>
      <c r="T50" s="18">
        <f t="shared" ref="T50" si="34">+T51+T56</f>
        <v>1719000</v>
      </c>
      <c r="U50" s="18">
        <f>+U51+U56</f>
        <v>1640500</v>
      </c>
      <c r="V50" s="18">
        <f t="shared" ref="V50:W50" si="35">+V51+V56</f>
        <v>1254500</v>
      </c>
      <c r="W50" s="18">
        <f t="shared" si="35"/>
        <v>2841000</v>
      </c>
      <c r="X50" s="18">
        <v>7455000</v>
      </c>
      <c r="Y50" s="18">
        <f>+Y51+Y56</f>
        <v>1594000</v>
      </c>
      <c r="Z50" s="18">
        <f>+Z51+Z56</f>
        <v>3376000</v>
      </c>
      <c r="AA50" s="18">
        <f t="shared" si="4"/>
        <v>12425000</v>
      </c>
      <c r="AB50" s="55">
        <f t="shared" si="5"/>
        <v>12425000</v>
      </c>
      <c r="AC50" s="18">
        <f t="shared" si="5"/>
        <v>12425000</v>
      </c>
      <c r="AD50" s="19">
        <f t="shared" si="31"/>
        <v>32.272727272727273</v>
      </c>
      <c r="AE50" s="15"/>
    </row>
    <row r="51" spans="1:34" s="20" customFormat="1" ht="15" customHeight="1" x14ac:dyDescent="0.3">
      <c r="A51" s="16"/>
      <c r="B51" s="16"/>
      <c r="C51" s="16">
        <v>141</v>
      </c>
      <c r="D51" s="16"/>
      <c r="E51" s="16"/>
      <c r="F51" s="16"/>
      <c r="G51" s="17" t="s">
        <v>83</v>
      </c>
      <c r="H51" s="18">
        <f t="shared" ref="H51:M51" si="36">SUM(H52:H55)</f>
        <v>16500000</v>
      </c>
      <c r="I51" s="18">
        <f t="shared" si="36"/>
        <v>0</v>
      </c>
      <c r="J51" s="18">
        <f t="shared" si="36"/>
        <v>16500000</v>
      </c>
      <c r="K51" s="18">
        <f t="shared" si="36"/>
        <v>87500</v>
      </c>
      <c r="L51" s="18">
        <f t="shared" si="36"/>
        <v>154000</v>
      </c>
      <c r="M51" s="18">
        <f t="shared" si="36"/>
        <v>452500</v>
      </c>
      <c r="N51" s="18">
        <f>+N52+N53+N54+N55</f>
        <v>955000</v>
      </c>
      <c r="O51" s="18">
        <f t="shared" si="2"/>
        <v>1649000</v>
      </c>
      <c r="P51" s="18">
        <f t="shared" ref="P51:Q51" si="37">SUM(P52:P55)</f>
        <v>765000</v>
      </c>
      <c r="Q51" s="18">
        <f t="shared" si="37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38">SUM(T52:T55)</f>
        <v>664500</v>
      </c>
      <c r="U51" s="18">
        <f t="shared" ref="U51:V51" si="39">SUM(U52:U55)</f>
        <v>482500</v>
      </c>
      <c r="V51" s="18">
        <f t="shared" si="39"/>
        <v>305000</v>
      </c>
      <c r="W51" s="18">
        <f>SUM(W52:W55)</f>
        <v>1289000</v>
      </c>
      <c r="X51" s="18">
        <v>2741000</v>
      </c>
      <c r="Y51" s="18">
        <f>+Y52+Y53+Y54+Y55</f>
        <v>667500</v>
      </c>
      <c r="Z51" s="18">
        <f>+Z52+Z53+Z54+Z55</f>
        <v>1902500</v>
      </c>
      <c r="AA51" s="18">
        <f t="shared" si="4"/>
        <v>5311000</v>
      </c>
      <c r="AB51" s="55">
        <f t="shared" si="5"/>
        <v>5311000</v>
      </c>
      <c r="AC51" s="18">
        <f t="shared" si="5"/>
        <v>5311000</v>
      </c>
      <c r="AD51" s="19">
        <f t="shared" si="31"/>
        <v>32.187878787878788</v>
      </c>
      <c r="AE51" s="15"/>
    </row>
    <row r="52" spans="1:34" ht="15" customHeight="1" x14ac:dyDescent="0.25">
      <c r="A52" s="22"/>
      <c r="B52" s="22"/>
      <c r="C52" s="22">
        <v>141</v>
      </c>
      <c r="D52" s="22" t="s">
        <v>84</v>
      </c>
      <c r="E52" s="22">
        <v>30</v>
      </c>
      <c r="F52" s="22" t="s">
        <v>27</v>
      </c>
      <c r="G52" s="23" t="s">
        <v>85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2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v>381000</v>
      </c>
      <c r="Y52" s="24">
        <f>12500+12500+12500</f>
        <v>37500</v>
      </c>
      <c r="Z52" s="24">
        <f>142500+12500+12500</f>
        <v>167500</v>
      </c>
      <c r="AA52" s="24">
        <f t="shared" si="4"/>
        <v>586000</v>
      </c>
      <c r="AB52" s="56">
        <f t="shared" si="5"/>
        <v>586000</v>
      </c>
      <c r="AC52" s="24">
        <f t="shared" si="5"/>
        <v>586000</v>
      </c>
      <c r="AD52" s="26">
        <f t="shared" si="31"/>
        <v>39.06666666666667</v>
      </c>
    </row>
    <row r="53" spans="1:34" ht="15" customHeight="1" x14ac:dyDescent="0.25">
      <c r="A53" s="22"/>
      <c r="B53" s="22"/>
      <c r="C53" s="22">
        <v>141</v>
      </c>
      <c r="D53" s="22" t="s">
        <v>86</v>
      </c>
      <c r="E53" s="22">
        <v>30</v>
      </c>
      <c r="F53" s="22" t="s">
        <v>39</v>
      </c>
      <c r="G53" s="23" t="s">
        <v>87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2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v>1130000</v>
      </c>
      <c r="Y53" s="24">
        <f>20000+10000+10000+80000+20000+10000+10000+40000+40000+20000+50000+10000+10000+10000+20000+10000+50000+10000</f>
        <v>430000</v>
      </c>
      <c r="Z53" s="24">
        <f>50000+50000+30000+10000+20000+10000+10000+220000+70000+40000+30000+80000+30000+90000+180000+10000+50000+110000+160000+330000</f>
        <v>1580000</v>
      </c>
      <c r="AA53" s="24">
        <f t="shared" si="4"/>
        <v>3140000</v>
      </c>
      <c r="AB53" s="56">
        <f t="shared" si="5"/>
        <v>3140000</v>
      </c>
      <c r="AC53" s="24">
        <f t="shared" si="5"/>
        <v>3140000</v>
      </c>
      <c r="AD53" s="26">
        <f t="shared" si="31"/>
        <v>31.4</v>
      </c>
    </row>
    <row r="54" spans="1:34" ht="15" customHeight="1" x14ac:dyDescent="0.25">
      <c r="A54" s="22"/>
      <c r="B54" s="22"/>
      <c r="C54" s="22">
        <v>141</v>
      </c>
      <c r="D54" s="22" t="s">
        <v>39</v>
      </c>
      <c r="E54" s="22">
        <v>30</v>
      </c>
      <c r="F54" s="22" t="s">
        <v>27</v>
      </c>
      <c r="G54" s="23" t="s">
        <v>88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2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v>1230000</v>
      </c>
      <c r="Y54" s="24">
        <f>65000+25000+20000+25000+20000+45000</f>
        <v>200000</v>
      </c>
      <c r="Z54" s="24">
        <f>45000+65000+20000+25000</f>
        <v>155000</v>
      </c>
      <c r="AA54" s="24">
        <f t="shared" si="4"/>
        <v>1585000</v>
      </c>
      <c r="AB54" s="56">
        <f t="shared" si="5"/>
        <v>1585000</v>
      </c>
      <c r="AC54" s="24">
        <f t="shared" si="5"/>
        <v>1585000</v>
      </c>
      <c r="AD54" s="26">
        <f t="shared" si="31"/>
        <v>39.625</v>
      </c>
    </row>
    <row r="55" spans="1:34" ht="15" customHeight="1" x14ac:dyDescent="0.25">
      <c r="A55" s="22"/>
      <c r="B55" s="22"/>
      <c r="C55" s="22">
        <v>141</v>
      </c>
      <c r="D55" s="22" t="s">
        <v>45</v>
      </c>
      <c r="E55" s="22">
        <v>30</v>
      </c>
      <c r="F55" s="22" t="s">
        <v>27</v>
      </c>
      <c r="G55" s="23" t="s">
        <v>89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2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/>
      <c r="AA55" s="24">
        <f t="shared" si="4"/>
        <v>0</v>
      </c>
      <c r="AB55" s="56">
        <f t="shared" si="5"/>
        <v>0</v>
      </c>
      <c r="AC55" s="24">
        <f t="shared" si="5"/>
        <v>0</v>
      </c>
      <c r="AD55" s="26">
        <f t="shared" si="31"/>
        <v>0</v>
      </c>
    </row>
    <row r="56" spans="1:34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90</v>
      </c>
      <c r="H56" s="27">
        <f t="shared" ref="H56:M56" si="40">SUM(H57:H58)</f>
        <v>22000000</v>
      </c>
      <c r="I56" s="27">
        <f t="shared" si="40"/>
        <v>0</v>
      </c>
      <c r="J56" s="27">
        <f t="shared" si="40"/>
        <v>22000000</v>
      </c>
      <c r="K56" s="27">
        <f t="shared" si="40"/>
        <v>1050400</v>
      </c>
      <c r="L56" s="27">
        <f t="shared" si="40"/>
        <v>920500</v>
      </c>
      <c r="M56" s="27">
        <f t="shared" si="40"/>
        <v>1264500</v>
      </c>
      <c r="N56" s="27">
        <f>+N57+N58</f>
        <v>1084000</v>
      </c>
      <c r="O56" s="18">
        <f t="shared" si="2"/>
        <v>4319400</v>
      </c>
      <c r="P56" s="27">
        <f t="shared" ref="P56:Q56" si="41">SUM(P57:P58)</f>
        <v>859500</v>
      </c>
      <c r="Q56" s="27">
        <f t="shared" si="41"/>
        <v>2542000</v>
      </c>
      <c r="R56" s="27">
        <f>+R57+R58</f>
        <v>1749000</v>
      </c>
      <c r="S56" s="27">
        <f>+S57+S58</f>
        <v>671000</v>
      </c>
      <c r="T56" s="27">
        <f t="shared" ref="T56" si="42">SUM(T57:T58)</f>
        <v>1054500</v>
      </c>
      <c r="U56" s="27">
        <f t="shared" ref="U56:W56" si="43">SUM(U57:U58)</f>
        <v>1158000</v>
      </c>
      <c r="V56" s="27">
        <f>SUM(V57:V58)</f>
        <v>949500</v>
      </c>
      <c r="W56" s="27">
        <f t="shared" si="43"/>
        <v>1552000</v>
      </c>
      <c r="X56" s="27">
        <v>4714000</v>
      </c>
      <c r="Y56" s="27">
        <f>+Y57+Y58</f>
        <v>926500</v>
      </c>
      <c r="Z56" s="27">
        <f>+Z57+Z58</f>
        <v>1473500</v>
      </c>
      <c r="AA56" s="18">
        <f>+X56+Y56+Z56</f>
        <v>7114000</v>
      </c>
      <c r="AB56" s="55">
        <f t="shared" si="5"/>
        <v>7114000</v>
      </c>
      <c r="AC56" s="18">
        <f t="shared" si="5"/>
        <v>7114000</v>
      </c>
      <c r="AD56" s="19">
        <f t="shared" si="31"/>
        <v>32.336363636363636</v>
      </c>
    </row>
    <row r="57" spans="1:34" ht="15" customHeight="1" x14ac:dyDescent="0.25">
      <c r="A57" s="22"/>
      <c r="B57" s="22"/>
      <c r="C57" s="22">
        <v>142</v>
      </c>
      <c r="D57" s="22" t="s">
        <v>47</v>
      </c>
      <c r="E57" s="22">
        <v>30</v>
      </c>
      <c r="F57" s="22" t="s">
        <v>27</v>
      </c>
      <c r="G57" s="23" t="s">
        <v>91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2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v>4714000</v>
      </c>
      <c r="Y57" s="24">
        <f>134000+33500+59000+47500+35000+33000+7500+21500+63500+10000+73500+41000+49500+2500+11500+25000+15000+16500+48000+81500+15000+40500+57500+5000</f>
        <v>926500</v>
      </c>
      <c r="Z57" s="24">
        <f>56500+21500+35500+26500+14000+11500+2500+252000+96000+38000+10000+13000+55500+86000+30500+76500+117000+7500+44500+73500+140000+265500</f>
        <v>1473500</v>
      </c>
      <c r="AA57" s="24">
        <f t="shared" si="4"/>
        <v>7114000</v>
      </c>
      <c r="AB57" s="56">
        <f t="shared" si="5"/>
        <v>7114000</v>
      </c>
      <c r="AC57" s="24">
        <f t="shared" si="5"/>
        <v>7114000</v>
      </c>
      <c r="AD57" s="26">
        <f t="shared" si="31"/>
        <v>47.426666666666669</v>
      </c>
    </row>
    <row r="58" spans="1:34" ht="14.25" customHeight="1" x14ac:dyDescent="0.25">
      <c r="A58" s="22"/>
      <c r="B58" s="22"/>
      <c r="C58" s="22">
        <v>142</v>
      </c>
      <c r="D58" s="22" t="s">
        <v>92</v>
      </c>
      <c r="E58" s="22">
        <v>30</v>
      </c>
      <c r="F58" s="22" t="s">
        <v>27</v>
      </c>
      <c r="G58" s="23" t="s">
        <v>93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>
        <v>0</v>
      </c>
      <c r="Y58" s="24">
        <v>0</v>
      </c>
      <c r="Z58" s="24"/>
      <c r="AA58" s="24">
        <f t="shared" si="4"/>
        <v>0</v>
      </c>
      <c r="AB58" s="56">
        <f t="shared" si="5"/>
        <v>0</v>
      </c>
      <c r="AC58" s="24">
        <f t="shared" si="5"/>
        <v>0</v>
      </c>
      <c r="AD58" s="26">
        <f t="shared" si="31"/>
        <v>0</v>
      </c>
    </row>
    <row r="59" spans="1:34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94</v>
      </c>
      <c r="H59" s="27">
        <f t="shared" ref="H59:N59" si="44">+H60+H64</f>
        <v>1191833719</v>
      </c>
      <c r="I59" s="27">
        <f t="shared" si="44"/>
        <v>275000000</v>
      </c>
      <c r="J59" s="27">
        <f t="shared" si="44"/>
        <v>1466833719</v>
      </c>
      <c r="K59" s="27">
        <f t="shared" si="44"/>
        <v>0</v>
      </c>
      <c r="L59" s="27">
        <f t="shared" si="44"/>
        <v>0</v>
      </c>
      <c r="M59" s="27">
        <f t="shared" si="44"/>
        <v>455448803</v>
      </c>
      <c r="N59" s="27">
        <f t="shared" si="44"/>
        <v>108821145</v>
      </c>
      <c r="O59" s="18">
        <f t="shared" si="2"/>
        <v>564269948</v>
      </c>
      <c r="P59" s="27">
        <f t="shared" ref="P59:Q59" si="45">+P60+P64</f>
        <v>14502828</v>
      </c>
      <c r="Q59" s="27">
        <f t="shared" si="45"/>
        <v>0</v>
      </c>
      <c r="R59" s="27">
        <f>+R60+R64</f>
        <v>0</v>
      </c>
      <c r="S59" s="27">
        <f>+S60+S64</f>
        <v>0</v>
      </c>
      <c r="T59" s="27">
        <f t="shared" ref="T59" si="46">+T60+T64</f>
        <v>415861980</v>
      </c>
      <c r="U59" s="27">
        <f t="shared" ref="U59:W59" si="47">+U60+U64</f>
        <v>0</v>
      </c>
      <c r="V59" s="27">
        <f t="shared" si="47"/>
        <v>0</v>
      </c>
      <c r="W59" s="27">
        <f t="shared" si="47"/>
        <v>342417459</v>
      </c>
      <c r="X59" s="27">
        <v>758279439</v>
      </c>
      <c r="Y59" s="27">
        <f>+Y60+Y64</f>
        <v>134220163</v>
      </c>
      <c r="Z59" s="27">
        <f>+Z60+Z64</f>
        <v>0</v>
      </c>
      <c r="AA59" s="18">
        <f t="shared" si="4"/>
        <v>892499602</v>
      </c>
      <c r="AB59" s="55">
        <f t="shared" si="5"/>
        <v>892499602</v>
      </c>
      <c r="AC59" s="18">
        <f t="shared" si="5"/>
        <v>892499602</v>
      </c>
      <c r="AD59" s="19">
        <f t="shared" si="31"/>
        <v>60.845315350976058</v>
      </c>
      <c r="AE59" s="13"/>
    </row>
    <row r="60" spans="1:34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95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48">+U61+U62+U63</f>
        <v>0</v>
      </c>
      <c r="V60" s="27">
        <f t="shared" si="48"/>
        <v>0</v>
      </c>
      <c r="W60" s="27">
        <f>+W61+W62+W63</f>
        <v>292680242</v>
      </c>
      <c r="X60" s="27">
        <v>370635687</v>
      </c>
      <c r="Y60" s="27">
        <f>+Y61+Y62+Y63</f>
        <v>0</v>
      </c>
      <c r="Z60" s="27">
        <f>+Z61+Z62+Z63</f>
        <v>0</v>
      </c>
      <c r="AA60" s="18">
        <f t="shared" si="4"/>
        <v>370635687</v>
      </c>
      <c r="AB60" s="55">
        <f t="shared" si="5"/>
        <v>370635687</v>
      </c>
      <c r="AC60" s="18">
        <f t="shared" si="5"/>
        <v>370635687</v>
      </c>
      <c r="AD60" s="19">
        <f t="shared" si="31"/>
        <v>53.196174792855118</v>
      </c>
      <c r="AE60" s="13"/>
    </row>
    <row r="61" spans="1:34" s="14" customFormat="1" ht="15" customHeight="1" x14ac:dyDescent="0.2">
      <c r="A61" s="28"/>
      <c r="B61" s="28"/>
      <c r="C61" s="22">
        <v>153</v>
      </c>
      <c r="D61" s="22" t="s">
        <v>96</v>
      </c>
      <c r="E61" s="22">
        <v>30</v>
      </c>
      <c r="F61" s="22" t="s">
        <v>29</v>
      </c>
      <c r="G61" s="23" t="s">
        <v>97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2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v>120246850</v>
      </c>
      <c r="Y61" s="24">
        <v>0</v>
      </c>
      <c r="Z61" s="24"/>
      <c r="AA61" s="24">
        <f t="shared" si="4"/>
        <v>120246850</v>
      </c>
      <c r="AB61" s="56">
        <f t="shared" si="5"/>
        <v>120246850</v>
      </c>
      <c r="AC61" s="24">
        <f t="shared" si="5"/>
        <v>120246850</v>
      </c>
      <c r="AD61" s="26">
        <f t="shared" si="31"/>
        <v>43.948271883463072</v>
      </c>
      <c r="AE61" s="13"/>
    </row>
    <row r="62" spans="1:34" s="34" customFormat="1" ht="15" customHeight="1" x14ac:dyDescent="0.2">
      <c r="A62" s="29"/>
      <c r="B62" s="29"/>
      <c r="C62" s="29">
        <v>153</v>
      </c>
      <c r="D62" s="29" t="s">
        <v>98</v>
      </c>
      <c r="E62" s="29">
        <v>30</v>
      </c>
      <c r="F62" s="29" t="s">
        <v>37</v>
      </c>
      <c r="G62" s="30" t="s">
        <v>99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2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31">
        <v>51766554</v>
      </c>
      <c r="Y62" s="31">
        <v>0</v>
      </c>
      <c r="Z62" s="31"/>
      <c r="AA62" s="24">
        <f t="shared" si="4"/>
        <v>51766554</v>
      </c>
      <c r="AB62" s="56">
        <f t="shared" si="5"/>
        <v>51766554</v>
      </c>
      <c r="AC62" s="24">
        <f t="shared" si="5"/>
        <v>51766554</v>
      </c>
      <c r="AD62" s="26">
        <f t="shared" si="31"/>
        <v>47.210719562243504</v>
      </c>
      <c r="AE62" s="32"/>
      <c r="AF62" s="33"/>
      <c r="AG62" s="33"/>
      <c r="AH62" s="33"/>
    </row>
    <row r="63" spans="1:34" s="34" customFormat="1" ht="15" customHeight="1" x14ac:dyDescent="0.2">
      <c r="A63" s="29"/>
      <c r="B63" s="29"/>
      <c r="C63" s="29">
        <v>153</v>
      </c>
      <c r="D63" s="29" t="s">
        <v>100</v>
      </c>
      <c r="E63" s="29">
        <v>30</v>
      </c>
      <c r="F63" s="29" t="s">
        <v>39</v>
      </c>
      <c r="G63" s="30" t="s">
        <v>101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2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31">
        <v>198622283</v>
      </c>
      <c r="Y63" s="31">
        <v>0</v>
      </c>
      <c r="Z63" s="31"/>
      <c r="AA63" s="24">
        <f t="shared" si="4"/>
        <v>198622283</v>
      </c>
      <c r="AB63" s="56">
        <f t="shared" si="5"/>
        <v>198622283</v>
      </c>
      <c r="AC63" s="24">
        <f t="shared" si="5"/>
        <v>198622283</v>
      </c>
      <c r="AD63" s="26">
        <f t="shared" si="31"/>
        <v>63.361694101876601</v>
      </c>
      <c r="AE63" s="32"/>
      <c r="AF63" s="33"/>
      <c r="AG63" s="33"/>
      <c r="AH63" s="33"/>
    </row>
    <row r="64" spans="1:34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102</v>
      </c>
      <c r="H64" s="27">
        <f t="shared" ref="H64:N64" si="49">+H65</f>
        <v>495100000</v>
      </c>
      <c r="I64" s="27">
        <f t="shared" si="49"/>
        <v>275000000</v>
      </c>
      <c r="J64" s="27">
        <f t="shared" si="49"/>
        <v>770100000</v>
      </c>
      <c r="K64" s="27">
        <f t="shared" si="49"/>
        <v>0</v>
      </c>
      <c r="L64" s="27">
        <f t="shared" si="49"/>
        <v>0</v>
      </c>
      <c r="M64" s="27">
        <f t="shared" si="49"/>
        <v>249645973</v>
      </c>
      <c r="N64" s="27">
        <f t="shared" si="49"/>
        <v>0</v>
      </c>
      <c r="O64" s="18">
        <f t="shared" si="2"/>
        <v>249645973</v>
      </c>
      <c r="P64" s="27">
        <f t="shared" ref="P64:Q64" si="50">+P65</f>
        <v>0</v>
      </c>
      <c r="Q64" s="27">
        <f t="shared" si="50"/>
        <v>0</v>
      </c>
      <c r="R64" s="27">
        <f>+R65</f>
        <v>0</v>
      </c>
      <c r="S64" s="27">
        <f>+S65</f>
        <v>0</v>
      </c>
      <c r="T64" s="27">
        <f t="shared" ref="T64:W64" si="51">+T65</f>
        <v>337906535</v>
      </c>
      <c r="U64" s="27">
        <f t="shared" si="51"/>
        <v>0</v>
      </c>
      <c r="V64" s="27">
        <f>+V65</f>
        <v>0</v>
      </c>
      <c r="W64" s="27">
        <f t="shared" si="51"/>
        <v>49737217</v>
      </c>
      <c r="X64" s="27">
        <v>387643752</v>
      </c>
      <c r="Y64" s="27">
        <f>+Y65</f>
        <v>134220163</v>
      </c>
      <c r="Z64" s="27">
        <f>+Z65</f>
        <v>0</v>
      </c>
      <c r="AA64" s="18">
        <f t="shared" si="4"/>
        <v>521863915</v>
      </c>
      <c r="AB64" s="55">
        <f t="shared" si="5"/>
        <v>521863915</v>
      </c>
      <c r="AC64" s="18">
        <f t="shared" si="5"/>
        <v>521863915</v>
      </c>
      <c r="AD64" s="19">
        <f t="shared" si="31"/>
        <v>67.765733670951818</v>
      </c>
      <c r="AE64" s="13"/>
    </row>
    <row r="65" spans="1:31" s="36" customFormat="1" ht="15" customHeight="1" x14ac:dyDescent="0.2">
      <c r="A65" s="22"/>
      <c r="B65" s="22"/>
      <c r="C65" s="22">
        <v>154</v>
      </c>
      <c r="D65" s="22" t="s">
        <v>103</v>
      </c>
      <c r="E65" s="22">
        <v>30</v>
      </c>
      <c r="F65" s="22" t="s">
        <v>60</v>
      </c>
      <c r="G65" s="35" t="s">
        <v>104</v>
      </c>
      <c r="H65" s="24">
        <v>495100000</v>
      </c>
      <c r="I65" s="24">
        <v>275000000</v>
      </c>
      <c r="J65" s="24">
        <f>+H65+I65</f>
        <v>770100000</v>
      </c>
      <c r="K65" s="24"/>
      <c r="L65" s="24"/>
      <c r="M65" s="24">
        <f>214567773+35078200</f>
        <v>249645973</v>
      </c>
      <c r="N65" s="24"/>
      <c r="O65" s="24">
        <f t="shared" si="2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v>387643752</v>
      </c>
      <c r="Y65" s="24">
        <v>134220163</v>
      </c>
      <c r="Z65" s="24"/>
      <c r="AA65" s="24">
        <f t="shared" si="4"/>
        <v>521863915</v>
      </c>
      <c r="AB65" s="56">
        <f t="shared" si="5"/>
        <v>521863915</v>
      </c>
      <c r="AC65" s="24">
        <f t="shared" si="5"/>
        <v>521863915</v>
      </c>
      <c r="AD65" s="26">
        <f t="shared" si="31"/>
        <v>67.765733670951818</v>
      </c>
      <c r="AE65" s="3"/>
    </row>
    <row r="66" spans="1:31" s="14" customFormat="1" ht="15" customHeight="1" x14ac:dyDescent="0.2">
      <c r="A66" s="28"/>
      <c r="B66" s="16">
        <v>160</v>
      </c>
      <c r="C66" s="28"/>
      <c r="D66" s="28"/>
      <c r="E66" s="28"/>
      <c r="F66" s="28"/>
      <c r="G66" s="17" t="s">
        <v>105</v>
      </c>
      <c r="H66" s="18">
        <f t="shared" ref="H66:N66" si="52">+H67</f>
        <v>73500000</v>
      </c>
      <c r="I66" s="18">
        <f t="shared" si="52"/>
        <v>0</v>
      </c>
      <c r="J66" s="18">
        <f t="shared" si="52"/>
        <v>73500000</v>
      </c>
      <c r="K66" s="18">
        <f t="shared" si="52"/>
        <v>3849400</v>
      </c>
      <c r="L66" s="18">
        <f t="shared" si="52"/>
        <v>2405480</v>
      </c>
      <c r="M66" s="18">
        <f t="shared" si="52"/>
        <v>3357120</v>
      </c>
      <c r="N66" s="18">
        <f t="shared" si="52"/>
        <v>1626950</v>
      </c>
      <c r="O66" s="18">
        <f t="shared" si="2"/>
        <v>11238950</v>
      </c>
      <c r="P66" s="18">
        <f t="shared" ref="P66:Q66" si="53">+P67</f>
        <v>3205640</v>
      </c>
      <c r="Q66" s="18">
        <f t="shared" si="53"/>
        <v>2018800</v>
      </c>
      <c r="R66" s="18">
        <f>+R67</f>
        <v>2487300</v>
      </c>
      <c r="S66" s="18">
        <f>+S67</f>
        <v>1210000</v>
      </c>
      <c r="T66" s="18">
        <f t="shared" ref="T66:W66" si="54">+T67</f>
        <v>5201300</v>
      </c>
      <c r="U66" s="18">
        <f t="shared" si="54"/>
        <v>2981700</v>
      </c>
      <c r="V66" s="18">
        <f t="shared" si="54"/>
        <v>2760700</v>
      </c>
      <c r="W66" s="18">
        <f t="shared" si="54"/>
        <v>4094200</v>
      </c>
      <c r="X66" s="18">
        <v>15037900</v>
      </c>
      <c r="Y66" s="18">
        <f>+Y67</f>
        <v>1859300</v>
      </c>
      <c r="Z66" s="18">
        <f>+Z67</f>
        <v>1550620</v>
      </c>
      <c r="AA66" s="18">
        <f t="shared" si="4"/>
        <v>18447820</v>
      </c>
      <c r="AB66" s="55">
        <f t="shared" si="5"/>
        <v>18447820</v>
      </c>
      <c r="AC66" s="18">
        <f t="shared" si="5"/>
        <v>18447820</v>
      </c>
      <c r="AD66" s="19">
        <f t="shared" si="31"/>
        <v>25.099074829931972</v>
      </c>
      <c r="AE66" s="13"/>
    </row>
    <row r="67" spans="1:31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106</v>
      </c>
      <c r="H67" s="27">
        <f t="shared" ref="H67:M67" si="55">SUM(H68:H77)</f>
        <v>73500000</v>
      </c>
      <c r="I67" s="27">
        <f t="shared" si="55"/>
        <v>0</v>
      </c>
      <c r="J67" s="27">
        <f t="shared" si="55"/>
        <v>73500000</v>
      </c>
      <c r="K67" s="27">
        <f t="shared" si="55"/>
        <v>3849400</v>
      </c>
      <c r="L67" s="27">
        <f t="shared" si="55"/>
        <v>2405480</v>
      </c>
      <c r="M67" s="27">
        <f t="shared" si="55"/>
        <v>3357120</v>
      </c>
      <c r="N67" s="27">
        <f>+N68+N69+N70+N71+N72+N73+N75+N76+N77</f>
        <v>1626950</v>
      </c>
      <c r="O67" s="18">
        <f t="shared" si="2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56">+U68+U69+U70+U71+U72+U73+U74+U75+U76+U77</f>
        <v>2981700</v>
      </c>
      <c r="V67" s="27">
        <f t="shared" si="56"/>
        <v>2760700</v>
      </c>
      <c r="W67" s="27">
        <f t="shared" si="56"/>
        <v>4094200</v>
      </c>
      <c r="X67" s="27">
        <v>15037900</v>
      </c>
      <c r="Y67" s="27">
        <f>+Y68+Y69+Y70+Y71+Y72+Y73+Y74+Y75+Y76+Y77</f>
        <v>1859300</v>
      </c>
      <c r="Z67" s="27">
        <f>+Z68+Z69+Z70+Z71+Z72+Z73+Z74+Z75+Z76+Z77</f>
        <v>1550620</v>
      </c>
      <c r="AA67" s="18">
        <f t="shared" si="4"/>
        <v>18447820</v>
      </c>
      <c r="AB67" s="55">
        <f t="shared" si="5"/>
        <v>18447820</v>
      </c>
      <c r="AC67" s="18">
        <f t="shared" si="5"/>
        <v>18447820</v>
      </c>
      <c r="AD67" s="19">
        <f t="shared" si="31"/>
        <v>25.099074829931972</v>
      </c>
      <c r="AE67" s="13"/>
    </row>
    <row r="68" spans="1:31" s="36" customFormat="1" ht="15" customHeight="1" x14ac:dyDescent="0.2">
      <c r="A68" s="22"/>
      <c r="B68" s="22"/>
      <c r="C68" s="22">
        <v>163</v>
      </c>
      <c r="D68" s="22" t="s">
        <v>86</v>
      </c>
      <c r="E68" s="22">
        <v>30</v>
      </c>
      <c r="F68" s="22" t="s">
        <v>27</v>
      </c>
      <c r="G68" s="23" t="s">
        <v>107</v>
      </c>
      <c r="H68" s="24">
        <v>1500000</v>
      </c>
      <c r="I68" s="24">
        <v>0</v>
      </c>
      <c r="J68" s="24">
        <f t="shared" ref="J68:J77" si="57">+H68+I68</f>
        <v>1500000</v>
      </c>
      <c r="K68" s="24"/>
      <c r="L68" s="24">
        <v>227500</v>
      </c>
      <c r="M68" s="24">
        <v>108550</v>
      </c>
      <c r="N68" s="24"/>
      <c r="O68" s="24">
        <f t="shared" si="2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/>
      <c r="AA68" s="24">
        <f t="shared" si="4"/>
        <v>0</v>
      </c>
      <c r="AB68" s="56">
        <f t="shared" si="5"/>
        <v>0</v>
      </c>
      <c r="AC68" s="24">
        <f t="shared" si="5"/>
        <v>0</v>
      </c>
      <c r="AD68" s="26">
        <f t="shared" si="31"/>
        <v>0</v>
      </c>
      <c r="AE68" s="3"/>
    </row>
    <row r="69" spans="1:31" s="36" customFormat="1" ht="15" customHeight="1" x14ac:dyDescent="0.2">
      <c r="A69" s="22"/>
      <c r="B69" s="22"/>
      <c r="C69" s="22">
        <v>163</v>
      </c>
      <c r="D69" s="22" t="s">
        <v>39</v>
      </c>
      <c r="E69" s="22">
        <v>30</v>
      </c>
      <c r="F69" s="22" t="s">
        <v>27</v>
      </c>
      <c r="G69" s="23" t="s">
        <v>108</v>
      </c>
      <c r="H69" s="24">
        <v>3000000</v>
      </c>
      <c r="I69" s="24">
        <v>0</v>
      </c>
      <c r="J69" s="24">
        <f t="shared" si="57"/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/>
      <c r="AA69" s="24">
        <f t="shared" si="4"/>
        <v>0</v>
      </c>
      <c r="AB69" s="56">
        <f t="shared" si="5"/>
        <v>0</v>
      </c>
      <c r="AC69" s="24">
        <f t="shared" si="5"/>
        <v>0</v>
      </c>
      <c r="AD69" s="26">
        <f t="shared" si="31"/>
        <v>0</v>
      </c>
      <c r="AE69" s="3"/>
    </row>
    <row r="70" spans="1:31" s="36" customFormat="1" ht="15" customHeight="1" x14ac:dyDescent="0.2">
      <c r="A70" s="22"/>
      <c r="B70" s="22"/>
      <c r="C70" s="22">
        <v>163</v>
      </c>
      <c r="D70" s="22" t="s">
        <v>92</v>
      </c>
      <c r="E70" s="22">
        <v>30</v>
      </c>
      <c r="F70" s="22" t="s">
        <v>27</v>
      </c>
      <c r="G70" s="23" t="s">
        <v>109</v>
      </c>
      <c r="H70" s="24">
        <v>8000000</v>
      </c>
      <c r="I70" s="24">
        <v>0</v>
      </c>
      <c r="J70" s="24">
        <f t="shared" si="57"/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v>1790000</v>
      </c>
      <c r="Y70" s="24">
        <f>20000+20000+20000+15000+20000+20000+15000+20000+20000+15000+20000+20000+20000+20000+20000+20000+20000+10000+15000+15000+15000+20000+20000+20000</f>
        <v>440000</v>
      </c>
      <c r="Z70" s="24">
        <f>20000+20000+20000+20000+15000+15000+20000+20000+20000+20000+20000+15000+20000+20000+20000+20000+20000+20000+20000+20000+20000+20000+15000+20000</f>
        <v>460000</v>
      </c>
      <c r="AA70" s="24">
        <f>+X70+Y70+Z70</f>
        <v>2690000</v>
      </c>
      <c r="AB70" s="56">
        <f t="shared" si="5"/>
        <v>2690000</v>
      </c>
      <c r="AC70" s="24">
        <f t="shared" si="5"/>
        <v>2690000</v>
      </c>
      <c r="AD70" s="26">
        <f t="shared" si="31"/>
        <v>33.625</v>
      </c>
      <c r="AE70" s="3"/>
    </row>
    <row r="71" spans="1:31" s="36" customFormat="1" ht="15" customHeight="1" x14ac:dyDescent="0.2">
      <c r="A71" s="22"/>
      <c r="B71" s="22"/>
      <c r="C71" s="22">
        <v>163</v>
      </c>
      <c r="D71" s="22" t="s">
        <v>45</v>
      </c>
      <c r="E71" s="22">
        <v>30</v>
      </c>
      <c r="F71" s="22" t="s">
        <v>27</v>
      </c>
      <c r="G71" s="23" t="s">
        <v>110</v>
      </c>
      <c r="H71" s="24">
        <v>3000000</v>
      </c>
      <c r="I71" s="24">
        <v>0</v>
      </c>
      <c r="J71" s="24">
        <f t="shared" si="57"/>
        <v>3000000</v>
      </c>
      <c r="K71" s="24"/>
      <c r="L71" s="24"/>
      <c r="M71" s="24"/>
      <c r="N71" s="24"/>
      <c r="O71" s="24">
        <f t="shared" ref="O71:O78" si="58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/>
      <c r="AA71" s="24">
        <f t="shared" si="4"/>
        <v>0</v>
      </c>
      <c r="AB71" s="56">
        <f t="shared" si="5"/>
        <v>0</v>
      </c>
      <c r="AC71" s="24">
        <f t="shared" si="5"/>
        <v>0</v>
      </c>
      <c r="AD71" s="26">
        <f t="shared" si="31"/>
        <v>0</v>
      </c>
      <c r="AE71" s="3"/>
    </row>
    <row r="72" spans="1:31" s="36" customFormat="1" ht="15" customHeight="1" x14ac:dyDescent="0.2">
      <c r="A72" s="22"/>
      <c r="B72" s="22"/>
      <c r="C72" s="22">
        <v>163</v>
      </c>
      <c r="D72" s="22" t="s">
        <v>111</v>
      </c>
      <c r="E72" s="22">
        <v>30</v>
      </c>
      <c r="F72" s="22" t="s">
        <v>27</v>
      </c>
      <c r="G72" s="23" t="s">
        <v>112</v>
      </c>
      <c r="H72" s="24">
        <v>40000000</v>
      </c>
      <c r="I72" s="24">
        <v>0</v>
      </c>
      <c r="J72" s="24">
        <f t="shared" si="57"/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58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v>13033400</v>
      </c>
      <c r="Y72" s="24">
        <f>192000+69000+543200+115700+272900</f>
        <v>1192800</v>
      </c>
      <c r="Z72" s="24">
        <f>84500+85000+223500+352120+101000</f>
        <v>846120</v>
      </c>
      <c r="AA72" s="24">
        <f t="shared" si="4"/>
        <v>15072320</v>
      </c>
      <c r="AB72" s="56">
        <f t="shared" si="5"/>
        <v>15072320</v>
      </c>
      <c r="AC72" s="24">
        <f t="shared" si="5"/>
        <v>15072320</v>
      </c>
      <c r="AD72" s="26">
        <f t="shared" si="31"/>
        <v>37.680799999999998</v>
      </c>
      <c r="AE72" s="3"/>
    </row>
    <row r="73" spans="1:31" s="36" customFormat="1" ht="15" customHeight="1" x14ac:dyDescent="0.2">
      <c r="A73" s="22"/>
      <c r="B73" s="22"/>
      <c r="C73" s="22">
        <v>163</v>
      </c>
      <c r="D73" s="22" t="s">
        <v>113</v>
      </c>
      <c r="E73" s="22">
        <v>30</v>
      </c>
      <c r="F73" s="22" t="s">
        <v>27</v>
      </c>
      <c r="G73" s="23" t="s">
        <v>114</v>
      </c>
      <c r="H73" s="24">
        <v>7000000</v>
      </c>
      <c r="I73" s="24">
        <v>0</v>
      </c>
      <c r="J73" s="24">
        <f t="shared" si="57"/>
        <v>7000000</v>
      </c>
      <c r="K73" s="24"/>
      <c r="L73" s="24"/>
      <c r="M73" s="24"/>
      <c r="N73" s="24"/>
      <c r="O73" s="24">
        <f t="shared" si="58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>
        <v>0</v>
      </c>
      <c r="Y73" s="24">
        <v>0</v>
      </c>
      <c r="Z73" s="24"/>
      <c r="AA73" s="24">
        <f t="shared" si="4"/>
        <v>0</v>
      </c>
      <c r="AB73" s="56">
        <f t="shared" si="5"/>
        <v>0</v>
      </c>
      <c r="AC73" s="24">
        <f t="shared" si="5"/>
        <v>0</v>
      </c>
      <c r="AD73" s="26">
        <f t="shared" si="31"/>
        <v>0</v>
      </c>
      <c r="AE73" s="3"/>
    </row>
    <row r="74" spans="1:31" s="36" customFormat="1" ht="15" customHeight="1" x14ac:dyDescent="0.2">
      <c r="A74" s="22"/>
      <c r="B74" s="22"/>
      <c r="C74" s="22">
        <v>163</v>
      </c>
      <c r="D74" s="22" t="s">
        <v>68</v>
      </c>
      <c r="E74" s="22">
        <v>30</v>
      </c>
      <c r="F74" s="22" t="s">
        <v>27</v>
      </c>
      <c r="G74" s="23" t="s">
        <v>115</v>
      </c>
      <c r="H74" s="24">
        <v>4000000</v>
      </c>
      <c r="I74" s="24">
        <v>0</v>
      </c>
      <c r="J74" s="24">
        <f t="shared" si="57"/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/>
      <c r="AA74" s="24">
        <f t="shared" si="4"/>
        <v>0</v>
      </c>
      <c r="AB74" s="56">
        <f t="shared" si="5"/>
        <v>0</v>
      </c>
      <c r="AC74" s="24">
        <f t="shared" si="5"/>
        <v>0</v>
      </c>
      <c r="AD74" s="26">
        <f t="shared" si="31"/>
        <v>0</v>
      </c>
      <c r="AE74" s="3"/>
    </row>
    <row r="75" spans="1:31" s="36" customFormat="1" ht="15" customHeight="1" x14ac:dyDescent="0.2">
      <c r="A75" s="22"/>
      <c r="B75" s="22"/>
      <c r="C75" s="22">
        <v>163</v>
      </c>
      <c r="D75" s="22" t="s">
        <v>70</v>
      </c>
      <c r="E75" s="22">
        <v>30</v>
      </c>
      <c r="F75" s="22" t="s">
        <v>27</v>
      </c>
      <c r="G75" s="23" t="s">
        <v>116</v>
      </c>
      <c r="H75" s="24">
        <v>4000000</v>
      </c>
      <c r="I75" s="24">
        <v>0</v>
      </c>
      <c r="J75" s="24">
        <f t="shared" si="57"/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58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v>214500</v>
      </c>
      <c r="Y75" s="24">
        <f>49500+51000+25500+25500+16500+33000+25500</f>
        <v>226500</v>
      </c>
      <c r="Z75" s="24">
        <f>25500+42000+25500+25500+16500+16500+16500+76500</f>
        <v>244500</v>
      </c>
      <c r="AA75" s="24">
        <f t="shared" si="4"/>
        <v>685500</v>
      </c>
      <c r="AB75" s="56">
        <f t="shared" si="5"/>
        <v>685500</v>
      </c>
      <c r="AC75" s="24">
        <f t="shared" si="5"/>
        <v>685500</v>
      </c>
      <c r="AD75" s="26">
        <f t="shared" si="31"/>
        <v>17.137499999999999</v>
      </c>
      <c r="AE75" s="3"/>
    </row>
    <row r="76" spans="1:31" s="36" customFormat="1" ht="15" customHeight="1" x14ac:dyDescent="0.2">
      <c r="A76" s="22"/>
      <c r="B76" s="22"/>
      <c r="C76" s="22">
        <v>163</v>
      </c>
      <c r="D76" s="22" t="s">
        <v>55</v>
      </c>
      <c r="E76" s="22">
        <v>30</v>
      </c>
      <c r="F76" s="22" t="s">
        <v>27</v>
      </c>
      <c r="G76" s="23" t="s">
        <v>117</v>
      </c>
      <c r="H76" s="24">
        <v>1000000</v>
      </c>
      <c r="I76" s="24">
        <v>0</v>
      </c>
      <c r="J76" s="24">
        <f t="shared" si="57"/>
        <v>1000000</v>
      </c>
      <c r="K76" s="24"/>
      <c r="L76" s="24"/>
      <c r="M76" s="24"/>
      <c r="N76" s="24"/>
      <c r="O76" s="24">
        <f t="shared" si="58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/>
      <c r="AA76" s="24">
        <f t="shared" si="4"/>
        <v>0</v>
      </c>
      <c r="AB76" s="56">
        <f t="shared" si="5"/>
        <v>0</v>
      </c>
      <c r="AC76" s="24">
        <f t="shared" si="5"/>
        <v>0</v>
      </c>
      <c r="AD76" s="26">
        <f t="shared" si="31"/>
        <v>0</v>
      </c>
      <c r="AE76" s="3"/>
    </row>
    <row r="77" spans="1:31" s="36" customFormat="1" ht="15" customHeight="1" x14ac:dyDescent="0.2">
      <c r="A77" s="22"/>
      <c r="B77" s="22"/>
      <c r="C77" s="22">
        <v>163</v>
      </c>
      <c r="D77" s="22" t="s">
        <v>118</v>
      </c>
      <c r="E77" s="22">
        <v>30</v>
      </c>
      <c r="F77" s="22" t="s">
        <v>27</v>
      </c>
      <c r="G77" s="23" t="s">
        <v>119</v>
      </c>
      <c r="H77" s="24">
        <v>2000000</v>
      </c>
      <c r="I77" s="24">
        <v>0</v>
      </c>
      <c r="J77" s="24">
        <f t="shared" si="57"/>
        <v>2000000</v>
      </c>
      <c r="K77" s="24"/>
      <c r="L77" s="24"/>
      <c r="M77" s="24"/>
      <c r="N77" s="24"/>
      <c r="O77" s="24">
        <f t="shared" si="58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/>
      <c r="AA77" s="24">
        <f t="shared" si="4"/>
        <v>0</v>
      </c>
      <c r="AB77" s="56">
        <f t="shared" si="5"/>
        <v>0</v>
      </c>
      <c r="AC77" s="24">
        <f t="shared" si="5"/>
        <v>0</v>
      </c>
      <c r="AD77" s="26">
        <f t="shared" si="31"/>
        <v>0</v>
      </c>
      <c r="AE77" s="3"/>
    </row>
    <row r="78" spans="1:31" s="37" customFormat="1" ht="15" customHeight="1" x14ac:dyDescent="0.2">
      <c r="A78" s="16">
        <v>200</v>
      </c>
      <c r="B78" s="16"/>
      <c r="C78" s="16"/>
      <c r="D78" s="16"/>
      <c r="E78" s="16"/>
      <c r="F78" s="16"/>
      <c r="G78" s="17" t="s">
        <v>120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58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59">+U79+U82</f>
        <v>0</v>
      </c>
      <c r="V78" s="18">
        <f t="shared" si="59"/>
        <v>0</v>
      </c>
      <c r="W78" s="18">
        <f t="shared" si="59"/>
        <v>792032757</v>
      </c>
      <c r="X78" s="18">
        <v>1077065108</v>
      </c>
      <c r="Y78" s="18">
        <v>0</v>
      </c>
      <c r="Z78" s="18">
        <f>+Z79+Z82</f>
        <v>48160611</v>
      </c>
      <c r="AA78" s="18">
        <f t="shared" si="4"/>
        <v>1125225719</v>
      </c>
      <c r="AB78" s="55">
        <f t="shared" si="5"/>
        <v>1125225719</v>
      </c>
      <c r="AC78" s="18">
        <f t="shared" si="5"/>
        <v>1125225719</v>
      </c>
      <c r="AD78" s="19">
        <f t="shared" si="31"/>
        <v>54.248182732116931</v>
      </c>
      <c r="AE78" s="15"/>
    </row>
    <row r="79" spans="1:31" s="37" customFormat="1" ht="15" customHeight="1" x14ac:dyDescent="0.2">
      <c r="A79" s="16"/>
      <c r="B79" s="16">
        <v>210</v>
      </c>
      <c r="C79" s="16"/>
      <c r="D79" s="16"/>
      <c r="E79" s="16"/>
      <c r="F79" s="16"/>
      <c r="G79" s="17" t="s">
        <v>121</v>
      </c>
      <c r="H79" s="18">
        <f>+H80</f>
        <v>6900000</v>
      </c>
      <c r="I79" s="18">
        <f t="shared" ref="I79:I80" si="60">+I80</f>
        <v>0</v>
      </c>
      <c r="J79" s="18">
        <f t="shared" ref="J79:M80" si="61">+J80</f>
        <v>6900000</v>
      </c>
      <c r="K79" s="18">
        <f t="shared" si="61"/>
        <v>0</v>
      </c>
      <c r="L79" s="18">
        <f t="shared" si="61"/>
        <v>0</v>
      </c>
      <c r="M79" s="18" t="str">
        <f t="shared" si="61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62">+U80</f>
        <v>0</v>
      </c>
      <c r="V79" s="18">
        <f t="shared" si="62"/>
        <v>0</v>
      </c>
      <c r="W79" s="18">
        <f t="shared" si="62"/>
        <v>0</v>
      </c>
      <c r="X79" s="18">
        <v>0</v>
      </c>
      <c r="Y79" s="18">
        <v>0</v>
      </c>
      <c r="Z79" s="18">
        <f>+Z80</f>
        <v>0</v>
      </c>
      <c r="AA79" s="18">
        <f t="shared" si="4"/>
        <v>0</v>
      </c>
      <c r="AB79" s="55">
        <f t="shared" si="5"/>
        <v>0</v>
      </c>
      <c r="AC79" s="18">
        <f t="shared" si="5"/>
        <v>0</v>
      </c>
      <c r="AD79" s="19">
        <f t="shared" ref="AD79:AD86" si="63">+AA79*100/J79</f>
        <v>0</v>
      </c>
      <c r="AE79" s="15"/>
    </row>
    <row r="80" spans="1:31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122</v>
      </c>
      <c r="H80" s="27">
        <f>+H81</f>
        <v>6900000</v>
      </c>
      <c r="I80" s="27">
        <f t="shared" si="60"/>
        <v>0</v>
      </c>
      <c r="J80" s="27">
        <f t="shared" si="61"/>
        <v>6900000</v>
      </c>
      <c r="K80" s="27">
        <f t="shared" si="61"/>
        <v>0</v>
      </c>
      <c r="L80" s="27">
        <f t="shared" si="61"/>
        <v>0</v>
      </c>
      <c r="M80" s="27" t="str">
        <f t="shared" si="61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62"/>
        <v>0</v>
      </c>
      <c r="V80" s="27">
        <f t="shared" si="62"/>
        <v>0</v>
      </c>
      <c r="W80" s="27">
        <f>+W81</f>
        <v>0</v>
      </c>
      <c r="X80" s="27">
        <v>0</v>
      </c>
      <c r="Y80" s="27">
        <v>0</v>
      </c>
      <c r="Z80" s="27">
        <f>+Z81</f>
        <v>0</v>
      </c>
      <c r="AA80" s="18">
        <f t="shared" ref="AA80:AA81" si="64">+X80+Y80+Z80</f>
        <v>0</v>
      </c>
      <c r="AB80" s="55">
        <f t="shared" ref="AB80:AC86" si="65">+AA80</f>
        <v>0</v>
      </c>
      <c r="AC80" s="18">
        <f t="shared" si="65"/>
        <v>0</v>
      </c>
      <c r="AD80" s="19">
        <f t="shared" si="63"/>
        <v>0</v>
      </c>
      <c r="AE80" s="13"/>
    </row>
    <row r="81" spans="1:31" s="36" customFormat="1" ht="15" customHeight="1" x14ac:dyDescent="0.2">
      <c r="A81" s="22"/>
      <c r="B81" s="22"/>
      <c r="C81" s="22">
        <v>211</v>
      </c>
      <c r="D81" s="22" t="s">
        <v>86</v>
      </c>
      <c r="E81" s="22">
        <v>30</v>
      </c>
      <c r="F81" s="22" t="s">
        <v>27</v>
      </c>
      <c r="G81" s="23" t="s">
        <v>122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123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/>
      <c r="AA81" s="24">
        <f t="shared" si="64"/>
        <v>0</v>
      </c>
      <c r="AB81" s="56">
        <f t="shared" si="65"/>
        <v>0</v>
      </c>
      <c r="AC81" s="24">
        <f t="shared" si="65"/>
        <v>0</v>
      </c>
      <c r="AD81" s="19">
        <f t="shared" si="63"/>
        <v>0</v>
      </c>
      <c r="AE81" s="3"/>
    </row>
    <row r="82" spans="1:31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124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66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67">+U83</f>
        <v>0</v>
      </c>
      <c r="V82" s="39">
        <f t="shared" si="67"/>
        <v>0</v>
      </c>
      <c r="W82" s="39">
        <f t="shared" si="67"/>
        <v>792032757</v>
      </c>
      <c r="X82" s="39">
        <v>1075065108</v>
      </c>
      <c r="Y82" s="39">
        <v>0</v>
      </c>
      <c r="Z82" s="39">
        <f>+Z83</f>
        <v>48160611</v>
      </c>
      <c r="AA82" s="18">
        <f>+X82+Y82+Z82</f>
        <v>1123225719</v>
      </c>
      <c r="AB82" s="55">
        <f t="shared" si="65"/>
        <v>1123225719</v>
      </c>
      <c r="AC82" s="18">
        <f t="shared" si="65"/>
        <v>1123225719</v>
      </c>
      <c r="AD82" s="19">
        <f t="shared" si="63"/>
        <v>54.332500886282254</v>
      </c>
      <c r="AE82" s="3"/>
    </row>
    <row r="83" spans="1:31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125</v>
      </c>
      <c r="H83" s="27">
        <f>+H84+H86+H85</f>
        <v>1892318273</v>
      </c>
      <c r="I83" s="27">
        <f t="shared" ref="I83:W83" si="68">+I84+I86+I85</f>
        <v>175000000</v>
      </c>
      <c r="J83" s="27">
        <f t="shared" si="68"/>
        <v>2067318273</v>
      </c>
      <c r="K83" s="27">
        <f t="shared" si="68"/>
        <v>0</v>
      </c>
      <c r="L83" s="27">
        <f t="shared" si="68"/>
        <v>0</v>
      </c>
      <c r="M83" s="27">
        <f t="shared" si="68"/>
        <v>1018094974</v>
      </c>
      <c r="N83" s="27">
        <f t="shared" si="68"/>
        <v>564590846</v>
      </c>
      <c r="O83" s="27">
        <f t="shared" si="68"/>
        <v>1582685820</v>
      </c>
      <c r="P83" s="27">
        <f t="shared" si="68"/>
        <v>0</v>
      </c>
      <c r="Q83" s="27">
        <f t="shared" si="68"/>
        <v>0</v>
      </c>
      <c r="R83" s="27">
        <f t="shared" si="68"/>
        <v>0</v>
      </c>
      <c r="S83" s="27">
        <f t="shared" si="68"/>
        <v>0</v>
      </c>
      <c r="T83" s="27">
        <f t="shared" si="68"/>
        <v>283032351</v>
      </c>
      <c r="U83" s="27">
        <f t="shared" si="68"/>
        <v>0</v>
      </c>
      <c r="V83" s="27">
        <f t="shared" si="68"/>
        <v>0</v>
      </c>
      <c r="W83" s="27">
        <f t="shared" si="68"/>
        <v>792032757</v>
      </c>
      <c r="X83" s="27">
        <v>1075065108</v>
      </c>
      <c r="Y83" s="27">
        <v>0</v>
      </c>
      <c r="Z83" s="27">
        <f>+Z84+Z85+Z86</f>
        <v>48160611</v>
      </c>
      <c r="AA83" s="18">
        <f t="shared" ref="AA83:AA92" si="69">+X83+Y83+Z83</f>
        <v>1123225719</v>
      </c>
      <c r="AB83" s="55">
        <f t="shared" si="65"/>
        <v>1123225719</v>
      </c>
      <c r="AC83" s="18">
        <f t="shared" si="65"/>
        <v>1123225719</v>
      </c>
      <c r="AD83" s="19">
        <f t="shared" si="63"/>
        <v>54.332500886282254</v>
      </c>
      <c r="AE83" s="3"/>
    </row>
    <row r="84" spans="1:31" s="36" customFormat="1" ht="15" customHeight="1" x14ac:dyDescent="0.2">
      <c r="A84" s="22"/>
      <c r="B84" s="22"/>
      <c r="C84" s="22">
        <v>223</v>
      </c>
      <c r="D84" s="22" t="s">
        <v>96</v>
      </c>
      <c r="E84" s="22">
        <v>30</v>
      </c>
      <c r="F84" s="22" t="s">
        <v>29</v>
      </c>
      <c r="G84" s="23" t="s">
        <v>97</v>
      </c>
      <c r="H84" s="24">
        <v>638423245</v>
      </c>
      <c r="I84" s="24">
        <v>0</v>
      </c>
      <c r="J84" s="24">
        <f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66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v>280575982</v>
      </c>
      <c r="Y84" s="24">
        <v>0</v>
      </c>
      <c r="Z84" s="24">
        <v>48160611</v>
      </c>
      <c r="AA84" s="24">
        <f t="shared" si="69"/>
        <v>328736593</v>
      </c>
      <c r="AB84" s="56">
        <f t="shared" si="65"/>
        <v>328736593</v>
      </c>
      <c r="AC84" s="24">
        <f t="shared" si="65"/>
        <v>328736593</v>
      </c>
      <c r="AD84" s="26">
        <f t="shared" si="63"/>
        <v>51.49195233328323</v>
      </c>
      <c r="AE84" s="3"/>
    </row>
    <row r="85" spans="1:31" s="36" customFormat="1" ht="15" customHeight="1" x14ac:dyDescent="0.2">
      <c r="A85" s="22"/>
      <c r="B85" s="22"/>
      <c r="C85" s="22">
        <v>223</v>
      </c>
      <c r="D85" s="22" t="s">
        <v>100</v>
      </c>
      <c r="E85" s="22">
        <v>30</v>
      </c>
      <c r="F85" s="22" t="s">
        <v>39</v>
      </c>
      <c r="G85" s="23" t="s">
        <v>101</v>
      </c>
      <c r="H85" s="24">
        <v>1253895028</v>
      </c>
      <c r="I85" s="24">
        <v>0</v>
      </c>
      <c r="J85" s="24">
        <f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70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v>794489126</v>
      </c>
      <c r="Y85" s="24">
        <v>0</v>
      </c>
      <c r="Z85" s="24">
        <v>0</v>
      </c>
      <c r="AA85" s="24">
        <f t="shared" si="69"/>
        <v>794489126</v>
      </c>
      <c r="AB85" s="56">
        <f t="shared" si="65"/>
        <v>794489126</v>
      </c>
      <c r="AC85" s="24">
        <f t="shared" si="65"/>
        <v>794489126</v>
      </c>
      <c r="AD85" s="26">
        <f t="shared" si="63"/>
        <v>63.36169362336765</v>
      </c>
      <c r="AE85" s="3"/>
    </row>
    <row r="86" spans="1:31" s="36" customFormat="1" ht="15" customHeight="1" x14ac:dyDescent="0.2">
      <c r="A86" s="22"/>
      <c r="B86" s="22"/>
      <c r="C86" s="22">
        <v>224</v>
      </c>
      <c r="D86" s="22" t="s">
        <v>86</v>
      </c>
      <c r="E86" s="22">
        <v>30</v>
      </c>
      <c r="F86" s="22" t="s">
        <v>60</v>
      </c>
      <c r="G86" s="35" t="s">
        <v>104</v>
      </c>
      <c r="H86" s="24">
        <v>0</v>
      </c>
      <c r="I86" s="24">
        <v>175000000</v>
      </c>
      <c r="J86" s="24">
        <f>+H86+I86</f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66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f t="shared" si="69"/>
        <v>0</v>
      </c>
      <c r="AB86" s="56">
        <f t="shared" si="65"/>
        <v>0</v>
      </c>
      <c r="AC86" s="24">
        <f t="shared" ref="AC86:AC92" si="71">+AB86</f>
        <v>0</v>
      </c>
      <c r="AD86" s="19">
        <f t="shared" si="63"/>
        <v>0</v>
      </c>
      <c r="AE86" s="3"/>
    </row>
    <row r="87" spans="1:31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126</v>
      </c>
      <c r="H87" s="18">
        <f>+H88</f>
        <v>0</v>
      </c>
      <c r="I87" s="18">
        <f t="shared" ref="I87:I88" si="72">+I88</f>
        <v>0</v>
      </c>
      <c r="J87" s="18">
        <f t="shared" ref="J87:Y88" si="73">+J88</f>
        <v>0</v>
      </c>
      <c r="K87" s="18">
        <f t="shared" si="73"/>
        <v>0</v>
      </c>
      <c r="L87" s="18">
        <f t="shared" si="73"/>
        <v>0</v>
      </c>
      <c r="M87" s="18">
        <f t="shared" si="73"/>
        <v>293463043</v>
      </c>
      <c r="N87" s="18">
        <f t="shared" si="73"/>
        <v>0</v>
      </c>
      <c r="O87" s="18">
        <f t="shared" si="73"/>
        <v>293463043</v>
      </c>
      <c r="P87" s="18">
        <f t="shared" si="73"/>
        <v>0</v>
      </c>
      <c r="Q87" s="18">
        <f t="shared" si="73"/>
        <v>0</v>
      </c>
      <c r="R87" s="18">
        <f t="shared" si="73"/>
        <v>0</v>
      </c>
      <c r="S87" s="18">
        <f t="shared" si="73"/>
        <v>0</v>
      </c>
      <c r="T87" s="18">
        <f t="shared" si="73"/>
        <v>0</v>
      </c>
      <c r="U87" s="18">
        <f t="shared" si="73"/>
        <v>0</v>
      </c>
      <c r="V87" s="18">
        <f t="shared" si="73"/>
        <v>0</v>
      </c>
      <c r="W87" s="18">
        <f t="shared" si="73"/>
        <v>0</v>
      </c>
      <c r="X87" s="18">
        <f t="shared" si="73"/>
        <v>0</v>
      </c>
      <c r="Y87" s="18">
        <f t="shared" si="73"/>
        <v>0</v>
      </c>
      <c r="Z87" s="18">
        <f>+Z88</f>
        <v>0</v>
      </c>
      <c r="AA87" s="18">
        <f t="shared" si="69"/>
        <v>0</v>
      </c>
      <c r="AB87" s="55">
        <f>+AB88</f>
        <v>661341903</v>
      </c>
      <c r="AC87" s="18">
        <f t="shared" si="71"/>
        <v>661341903</v>
      </c>
      <c r="AD87" s="57">
        <v>0</v>
      </c>
      <c r="AE87" s="15"/>
    </row>
    <row r="88" spans="1:31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127</v>
      </c>
      <c r="H88" s="18">
        <f>+H89</f>
        <v>0</v>
      </c>
      <c r="I88" s="18">
        <f t="shared" si="72"/>
        <v>0</v>
      </c>
      <c r="J88" s="18">
        <f t="shared" si="73"/>
        <v>0</v>
      </c>
      <c r="K88" s="18">
        <f t="shared" si="73"/>
        <v>0</v>
      </c>
      <c r="L88" s="18">
        <f t="shared" si="73"/>
        <v>0</v>
      </c>
      <c r="M88" s="18">
        <f t="shared" si="73"/>
        <v>293463043</v>
      </c>
      <c r="N88" s="18">
        <f t="shared" si="73"/>
        <v>0</v>
      </c>
      <c r="O88" s="18">
        <f t="shared" si="73"/>
        <v>293463043</v>
      </c>
      <c r="P88" s="18">
        <f t="shared" si="73"/>
        <v>0</v>
      </c>
      <c r="Q88" s="18">
        <f t="shared" si="73"/>
        <v>0</v>
      </c>
      <c r="R88" s="18">
        <f t="shared" si="73"/>
        <v>0</v>
      </c>
      <c r="S88" s="18">
        <f t="shared" si="73"/>
        <v>0</v>
      </c>
      <c r="T88" s="18">
        <f t="shared" si="73"/>
        <v>0</v>
      </c>
      <c r="U88" s="18">
        <f t="shared" si="73"/>
        <v>0</v>
      </c>
      <c r="V88" s="18">
        <f t="shared" si="73"/>
        <v>0</v>
      </c>
      <c r="W88" s="18">
        <f t="shared" si="73"/>
        <v>0</v>
      </c>
      <c r="X88" s="18">
        <f t="shared" si="73"/>
        <v>0</v>
      </c>
      <c r="Y88" s="18">
        <f t="shared" si="73"/>
        <v>0</v>
      </c>
      <c r="Z88" s="18">
        <f>+Z90</f>
        <v>0</v>
      </c>
      <c r="AA88" s="18">
        <f t="shared" si="69"/>
        <v>0</v>
      </c>
      <c r="AB88" s="55">
        <f>+AB89</f>
        <v>661341903</v>
      </c>
      <c r="AC88" s="18">
        <f t="shared" si="71"/>
        <v>661341903</v>
      </c>
      <c r="AD88" s="57">
        <v>0</v>
      </c>
      <c r="AE88" s="15"/>
    </row>
    <row r="89" spans="1:31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128</v>
      </c>
      <c r="H89" s="18">
        <f t="shared" ref="H89:Y89" si="74">+H92</f>
        <v>0</v>
      </c>
      <c r="I89" s="18">
        <f t="shared" si="74"/>
        <v>0</v>
      </c>
      <c r="J89" s="18">
        <f t="shared" si="74"/>
        <v>0</v>
      </c>
      <c r="K89" s="18">
        <f t="shared" si="74"/>
        <v>0</v>
      </c>
      <c r="L89" s="18">
        <f t="shared" si="74"/>
        <v>0</v>
      </c>
      <c r="M89" s="18">
        <f t="shared" si="74"/>
        <v>293463043</v>
      </c>
      <c r="N89" s="18">
        <f t="shared" si="74"/>
        <v>0</v>
      </c>
      <c r="O89" s="18">
        <f t="shared" si="74"/>
        <v>293463043</v>
      </c>
      <c r="P89" s="18">
        <f t="shared" si="74"/>
        <v>0</v>
      </c>
      <c r="Q89" s="18">
        <f t="shared" si="74"/>
        <v>0</v>
      </c>
      <c r="R89" s="18">
        <f t="shared" si="74"/>
        <v>0</v>
      </c>
      <c r="S89" s="18">
        <f t="shared" si="74"/>
        <v>0</v>
      </c>
      <c r="T89" s="18">
        <f t="shared" si="74"/>
        <v>0</v>
      </c>
      <c r="U89" s="18">
        <f t="shared" si="74"/>
        <v>0</v>
      </c>
      <c r="V89" s="18">
        <f t="shared" si="74"/>
        <v>0</v>
      </c>
      <c r="W89" s="18">
        <f t="shared" si="74"/>
        <v>0</v>
      </c>
      <c r="X89" s="18">
        <f t="shared" si="74"/>
        <v>0</v>
      </c>
      <c r="Y89" s="18">
        <f t="shared" si="74"/>
        <v>0</v>
      </c>
      <c r="Z89" s="18">
        <f>+Z90+Z91+Z92</f>
        <v>0</v>
      </c>
      <c r="AA89" s="18">
        <f t="shared" si="69"/>
        <v>0</v>
      </c>
      <c r="AB89" s="55">
        <f>+AB90+AB91+AB92</f>
        <v>661341903</v>
      </c>
      <c r="AC89" s="18">
        <f t="shared" si="71"/>
        <v>661341903</v>
      </c>
      <c r="AD89" s="57">
        <v>0</v>
      </c>
      <c r="AE89" s="15"/>
    </row>
    <row r="90" spans="1:31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29</v>
      </c>
      <c r="G90" s="23" t="s">
        <v>129</v>
      </c>
      <c r="H90" s="18"/>
      <c r="I90" s="18">
        <v>0</v>
      </c>
      <c r="J90" s="18">
        <v>0</v>
      </c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>
        <v>0</v>
      </c>
      <c r="Y90" s="24">
        <v>0</v>
      </c>
      <c r="Z90" s="24">
        <v>0</v>
      </c>
      <c r="AA90" s="24">
        <f t="shared" si="69"/>
        <v>0</v>
      </c>
      <c r="AB90" s="56">
        <v>60463952</v>
      </c>
      <c r="AC90" s="24">
        <f t="shared" si="71"/>
        <v>60463952</v>
      </c>
      <c r="AD90" s="26">
        <v>0</v>
      </c>
      <c r="AE90" s="15"/>
    </row>
    <row r="91" spans="1:31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60</v>
      </c>
      <c r="G91" s="23" t="s">
        <v>130</v>
      </c>
      <c r="H91" s="18"/>
      <c r="I91" s="18"/>
      <c r="J91" s="18">
        <v>0</v>
      </c>
      <c r="K91" s="24">
        <v>0</v>
      </c>
      <c r="L91" s="18"/>
      <c r="M91" s="24">
        <v>410383359</v>
      </c>
      <c r="N91" s="18"/>
      <c r="O91" s="24">
        <f t="shared" si="66"/>
        <v>410383359</v>
      </c>
      <c r="P91" s="24"/>
      <c r="Q91" s="24"/>
      <c r="R91" s="24"/>
      <c r="S91" s="24"/>
      <c r="T91" s="24"/>
      <c r="U91" s="24"/>
      <c r="V91" s="24"/>
      <c r="W91" s="24"/>
      <c r="X91" s="24">
        <v>0</v>
      </c>
      <c r="Y91" s="24">
        <v>0</v>
      </c>
      <c r="Z91" s="24">
        <v>0</v>
      </c>
      <c r="AA91" s="24">
        <f t="shared" si="69"/>
        <v>0</v>
      </c>
      <c r="AB91" s="56">
        <v>494264450</v>
      </c>
      <c r="AC91" s="24">
        <f t="shared" si="71"/>
        <v>494264450</v>
      </c>
      <c r="AD91" s="26">
        <v>0</v>
      </c>
      <c r="AE91" s="15"/>
    </row>
    <row r="92" spans="1:31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39</v>
      </c>
      <c r="G92" s="23" t="s">
        <v>131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>
        <v>0</v>
      </c>
      <c r="Y92" s="24">
        <v>0</v>
      </c>
      <c r="Z92" s="24">
        <v>0</v>
      </c>
      <c r="AA92" s="24">
        <f t="shared" si="69"/>
        <v>0</v>
      </c>
      <c r="AB92" s="56">
        <v>106613501</v>
      </c>
      <c r="AC92" s="24">
        <f t="shared" si="71"/>
        <v>106613501</v>
      </c>
      <c r="AD92" s="26">
        <v>0</v>
      </c>
      <c r="AE92" s="3"/>
    </row>
    <row r="93" spans="1:31" ht="15" x14ac:dyDescent="0.25">
      <c r="A93" s="42" t="s">
        <v>132</v>
      </c>
      <c r="AD93" s="43"/>
    </row>
    <row r="94" spans="1:31" ht="16.5" x14ac:dyDescent="0.25">
      <c r="A94" s="36"/>
      <c r="B94" s="44"/>
      <c r="C94" s="45"/>
      <c r="D94" s="3"/>
      <c r="E94" s="3"/>
      <c r="F94" s="3"/>
      <c r="G94" s="36"/>
      <c r="AB94" s="53"/>
      <c r="AD94" s="46"/>
    </row>
    <row r="95" spans="1:31" ht="15" x14ac:dyDescent="0.25">
      <c r="A95" s="36"/>
      <c r="B95" s="44"/>
      <c r="C95" s="14"/>
      <c r="D95" s="13"/>
      <c r="E95" s="13"/>
      <c r="F95" s="13"/>
      <c r="G95" s="36"/>
    </row>
    <row r="96" spans="1:31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1:27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</sheetData>
  <mergeCells count="16">
    <mergeCell ref="J13:J14"/>
    <mergeCell ref="AB13:AB14"/>
    <mergeCell ref="AC13:AC14"/>
    <mergeCell ref="AD13:AD14"/>
    <mergeCell ref="A7:AD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A13:AA14"/>
    <mergeCell ref="X13:X14"/>
  </mergeCells>
  <pageMargins left="0" right="0.23622047244094491" top="0.78740157480314965" bottom="0.78740157480314965" header="0" footer="0"/>
  <pageSetup paperSize="5" scale="65" fitToHeight="100" orientation="landscape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2018-01-20T12:10:07Z</cp:lastPrinted>
  <dcterms:created xsi:type="dcterms:W3CDTF">2017-07-15T19:07:41Z</dcterms:created>
  <dcterms:modified xsi:type="dcterms:W3CDTF">2018-07-18T13:52:48Z</dcterms:modified>
</cp:coreProperties>
</file>