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465" yWindow="-105" windowWidth="13275" windowHeight="7935"/>
  </bookViews>
  <sheets>
    <sheet name="B-06-03 " sheetId="1" r:id="rId1"/>
  </sheets>
  <definedNames>
    <definedName name="_xlnm.Print_Titles" localSheetId="0">'B-06-03 '!$1:$14</definedName>
  </definedNames>
  <calcPr calcId="145621"/>
</workbook>
</file>

<file path=xl/calcChain.xml><?xml version="1.0" encoding="utf-8"?>
<calcChain xmlns="http://schemas.openxmlformats.org/spreadsheetml/2006/main">
  <c r="J16" i="1" l="1"/>
  <c r="J15" i="1" l="1"/>
  <c r="H15" i="1" l="1"/>
  <c r="I65" i="1"/>
  <c r="X78" i="1" l="1"/>
  <c r="X87" i="1"/>
  <c r="AB80" i="1"/>
  <c r="AB79" i="1" s="1"/>
  <c r="AB89" i="1"/>
  <c r="AB88" i="1"/>
  <c r="AB87" i="1"/>
  <c r="AC85" i="1"/>
  <c r="AC86" i="1"/>
  <c r="AC90" i="1"/>
  <c r="AC91" i="1"/>
  <c r="AC92" i="1"/>
  <c r="AC77" i="1"/>
  <c r="AC68" i="1"/>
  <c r="AC69" i="1"/>
  <c r="AC71" i="1"/>
  <c r="AC73" i="1"/>
  <c r="AC74" i="1"/>
  <c r="AC76" i="1"/>
  <c r="AC55" i="1"/>
  <c r="AC58" i="1"/>
  <c r="AC61" i="1"/>
  <c r="AC62" i="1"/>
  <c r="AC63" i="1"/>
  <c r="AC65" i="1"/>
  <c r="AC44" i="1"/>
  <c r="AC46" i="1"/>
  <c r="AC48" i="1"/>
  <c r="AC27" i="1"/>
  <c r="AC31" i="1"/>
  <c r="AC33" i="1"/>
  <c r="AC34" i="1"/>
  <c r="AC36" i="1"/>
  <c r="AC20" i="1"/>
  <c r="AC22" i="1"/>
  <c r="AC23" i="1"/>
  <c r="AC24" i="1"/>
  <c r="AC25" i="1"/>
  <c r="AB70" i="1"/>
  <c r="AB30" i="1"/>
  <c r="AB32" i="1"/>
  <c r="AB57" i="1"/>
  <c r="AB53" i="1"/>
  <c r="AB49" i="1"/>
  <c r="AB38" i="1"/>
  <c r="AB21" i="1"/>
  <c r="AB28" i="1"/>
  <c r="AB75" i="1"/>
  <c r="AB52" i="1"/>
  <c r="AB19" i="1"/>
  <c r="AB54" i="1"/>
  <c r="AB43" i="1"/>
  <c r="AB42" i="1"/>
  <c r="AB41" i="1"/>
  <c r="AC41" i="1" s="1"/>
  <c r="AB29" i="1"/>
  <c r="AB72" i="1"/>
  <c r="AB47" i="1"/>
  <c r="AB45" i="1"/>
  <c r="AB26" i="1" l="1"/>
  <c r="AB37" i="1"/>
  <c r="AB83" i="1"/>
  <c r="AB82" i="1" s="1"/>
  <c r="AB78" i="1" s="1"/>
  <c r="AB60" i="1"/>
  <c r="AB64" i="1"/>
  <c r="AB56" i="1"/>
  <c r="AB67" i="1"/>
  <c r="AB66" i="1" s="1"/>
  <c r="AB51" i="1"/>
  <c r="AB40" i="1"/>
  <c r="AB39" i="1" s="1"/>
  <c r="AB35" i="1"/>
  <c r="AB18" i="1"/>
  <c r="AB59" i="1" l="1"/>
  <c r="AB50" i="1"/>
  <c r="AB17" i="1"/>
  <c r="AB16" i="1" s="1"/>
  <c r="AB15" i="1" s="1"/>
  <c r="AA89" i="1"/>
  <c r="AA88" i="1"/>
  <c r="AA87" i="1" s="1"/>
  <c r="AA84" i="1"/>
  <c r="AA19" i="1"/>
  <c r="AA54" i="1"/>
  <c r="AA53" i="1"/>
  <c r="AA49" i="1"/>
  <c r="AA38" i="1"/>
  <c r="AA21" i="1"/>
  <c r="AA37" i="1"/>
  <c r="AA75" i="1"/>
  <c r="AA57" i="1"/>
  <c r="AA47" i="1"/>
  <c r="AA45" i="1"/>
  <c r="AA32" i="1"/>
  <c r="AA70" i="1"/>
  <c r="AA30" i="1"/>
  <c r="AA28" i="1"/>
  <c r="AA43" i="1"/>
  <c r="AA29" i="1"/>
  <c r="AA64" i="1"/>
  <c r="AA59" i="1" s="1"/>
  <c r="AA60" i="1"/>
  <c r="AA83" i="1" l="1"/>
  <c r="AC84" i="1"/>
  <c r="AA56" i="1"/>
  <c r="AA51" i="1"/>
  <c r="AA67" i="1"/>
  <c r="AA66" i="1" s="1"/>
  <c r="AA40" i="1"/>
  <c r="AA39" i="1" s="1"/>
  <c r="AA35" i="1"/>
  <c r="AA26" i="1"/>
  <c r="Z43" i="1"/>
  <c r="AA82" i="1" l="1"/>
  <c r="AA18" i="1"/>
  <c r="AA50" i="1"/>
  <c r="Z19" i="1"/>
  <c r="AA17" i="1" l="1"/>
  <c r="Z30" i="1"/>
  <c r="Z70" i="1"/>
  <c r="Z72" i="1"/>
  <c r="Z47" i="1"/>
  <c r="Z45" i="1"/>
  <c r="Z28" i="1"/>
  <c r="Z53" i="1"/>
  <c r="Z49" i="1"/>
  <c r="Z38" i="1"/>
  <c r="Z21" i="1"/>
  <c r="Z75" i="1"/>
  <c r="Z57" i="1"/>
  <c r="Z32" i="1"/>
  <c r="Z54" i="1"/>
  <c r="Z37" i="1"/>
  <c r="AA80" i="1" l="1"/>
  <c r="AC81" i="1"/>
  <c r="AA16" i="1"/>
  <c r="Z52" i="1"/>
  <c r="Z29" i="1"/>
  <c r="Z88" i="1"/>
  <c r="Z87" i="1" s="1"/>
  <c r="Z89" i="1"/>
  <c r="K89" i="1"/>
  <c r="L89" i="1"/>
  <c r="M89" i="1"/>
  <c r="M88" i="1" s="1"/>
  <c r="M87" i="1" s="1"/>
  <c r="N89" i="1"/>
  <c r="P89" i="1"/>
  <c r="Q89" i="1"/>
  <c r="Q88" i="1" s="1"/>
  <c r="Q87" i="1" s="1"/>
  <c r="R89" i="1"/>
  <c r="S89" i="1"/>
  <c r="T89" i="1"/>
  <c r="U89" i="1"/>
  <c r="U88" i="1" s="1"/>
  <c r="U87" i="1" s="1"/>
  <c r="V89" i="1"/>
  <c r="W89" i="1"/>
  <c r="X89" i="1"/>
  <c r="Y89" i="1"/>
  <c r="Y88" i="1" s="1"/>
  <c r="Y87" i="1" s="1"/>
  <c r="AC87" i="1" s="1"/>
  <c r="K88" i="1"/>
  <c r="L88" i="1"/>
  <c r="N88" i="1"/>
  <c r="N87" i="1" s="1"/>
  <c r="P88" i="1"/>
  <c r="R88" i="1"/>
  <c r="R87" i="1" s="1"/>
  <c r="S88" i="1"/>
  <c r="T88" i="1"/>
  <c r="V88" i="1"/>
  <c r="V87" i="1" s="1"/>
  <c r="W88" i="1"/>
  <c r="X88" i="1"/>
  <c r="K87" i="1"/>
  <c r="L87" i="1"/>
  <c r="P87" i="1"/>
  <c r="S87" i="1"/>
  <c r="T87" i="1"/>
  <c r="W87" i="1"/>
  <c r="Z83" i="1"/>
  <c r="Z80" i="1"/>
  <c r="Z79" i="1"/>
  <c r="Z18" i="1"/>
  <c r="Z26" i="1"/>
  <c r="Z35" i="1"/>
  <c r="Z40" i="1"/>
  <c r="Z51" i="1"/>
  <c r="Z56" i="1"/>
  <c r="Z60" i="1"/>
  <c r="Z64" i="1"/>
  <c r="Z67" i="1"/>
  <c r="Z66" i="1" s="1"/>
  <c r="Z82" i="1" l="1"/>
  <c r="AC83" i="1"/>
  <c r="AC88" i="1"/>
  <c r="Z59" i="1"/>
  <c r="Z17" i="1"/>
  <c r="AC89" i="1"/>
  <c r="AA79" i="1"/>
  <c r="AC80" i="1"/>
  <c r="AD80" i="1" s="1"/>
  <c r="AE80" i="1" s="1"/>
  <c r="Z39" i="1"/>
  <c r="Z50" i="1"/>
  <c r="Z16" i="1"/>
  <c r="AF23" i="1"/>
  <c r="AD83" i="1"/>
  <c r="AE83" i="1" s="1"/>
  <c r="Z78" i="1" l="1"/>
  <c r="AC82" i="1"/>
  <c r="AD82" i="1" s="1"/>
  <c r="AE82" i="1" s="1"/>
  <c r="AA78" i="1"/>
  <c r="AC79" i="1"/>
  <c r="AD79" i="1" s="1"/>
  <c r="AE79" i="1" s="1"/>
  <c r="Z15" i="1"/>
  <c r="AD86" i="1"/>
  <c r="AD85" i="1"/>
  <c r="AE85" i="1" s="1"/>
  <c r="AD84" i="1"/>
  <c r="AE84" i="1" s="1"/>
  <c r="AD81" i="1"/>
  <c r="AE81" i="1" s="1"/>
  <c r="AD77" i="1"/>
  <c r="AE77" i="1" s="1"/>
  <c r="AD76" i="1"/>
  <c r="AE76" i="1" s="1"/>
  <c r="AD74" i="1"/>
  <c r="AE74" i="1" s="1"/>
  <c r="AD73" i="1"/>
  <c r="AE73" i="1" s="1"/>
  <c r="AD71" i="1"/>
  <c r="AE71" i="1" s="1"/>
  <c r="AD69" i="1"/>
  <c r="AE69" i="1" s="1"/>
  <c r="AD68" i="1"/>
  <c r="AE68" i="1" s="1"/>
  <c r="AD65" i="1"/>
  <c r="AE65" i="1" s="1"/>
  <c r="AD63" i="1"/>
  <c r="AE63" i="1" s="1"/>
  <c r="AD62" i="1"/>
  <c r="AE62" i="1" s="1"/>
  <c r="AD61" i="1"/>
  <c r="AE61" i="1" s="1"/>
  <c r="AD58" i="1"/>
  <c r="AE58" i="1" s="1"/>
  <c r="AD55" i="1"/>
  <c r="AE55" i="1" s="1"/>
  <c r="AD48" i="1"/>
  <c r="AE48" i="1" s="1"/>
  <c r="AD46" i="1"/>
  <c r="AE46" i="1" s="1"/>
  <c r="AD44" i="1"/>
  <c r="AE44" i="1" s="1"/>
  <c r="AD41" i="1"/>
  <c r="AE41" i="1" s="1"/>
  <c r="AD36" i="1"/>
  <c r="AE36" i="1" s="1"/>
  <c r="AD34" i="1"/>
  <c r="AE34" i="1" s="1"/>
  <c r="AD33" i="1"/>
  <c r="AE33" i="1" s="1"/>
  <c r="AD31" i="1"/>
  <c r="AE31" i="1" s="1"/>
  <c r="AD27" i="1"/>
  <c r="AE27" i="1" s="1"/>
  <c r="AD25" i="1"/>
  <c r="AE25" i="1" s="1"/>
  <c r="AD24" i="1"/>
  <c r="AE24" i="1" s="1"/>
  <c r="AD23" i="1"/>
  <c r="AE23" i="1" s="1"/>
  <c r="AD22" i="1"/>
  <c r="AE22" i="1" s="1"/>
  <c r="AD20" i="1"/>
  <c r="AE20" i="1" s="1"/>
  <c r="Y75" i="1"/>
  <c r="AC75" i="1" s="1"/>
  <c r="Y57" i="1"/>
  <c r="AC57" i="1" s="1"/>
  <c r="Y32" i="1"/>
  <c r="AC32" i="1" s="1"/>
  <c r="Y70" i="1"/>
  <c r="AC70" i="1" s="1"/>
  <c r="Y30" i="1"/>
  <c r="AC30" i="1" s="1"/>
  <c r="Y29" i="1"/>
  <c r="AC29" i="1" s="1"/>
  <c r="Y19" i="1"/>
  <c r="AC19" i="1" s="1"/>
  <c r="Y43" i="1"/>
  <c r="AC43" i="1" s="1"/>
  <c r="Y42" i="1"/>
  <c r="AC42" i="1" s="1"/>
  <c r="Y53" i="1"/>
  <c r="AC53" i="1" s="1"/>
  <c r="Y49" i="1"/>
  <c r="AC49" i="1" s="1"/>
  <c r="Y38" i="1"/>
  <c r="AC38" i="1" s="1"/>
  <c r="Y21" i="1"/>
  <c r="AC21" i="1" s="1"/>
  <c r="Y54" i="1"/>
  <c r="AC54" i="1" s="1"/>
  <c r="Y28" i="1"/>
  <c r="AC28" i="1" s="1"/>
  <c r="Y72" i="1"/>
  <c r="AC72" i="1" s="1"/>
  <c r="Y47" i="1"/>
  <c r="AC47" i="1" s="1"/>
  <c r="Y45" i="1"/>
  <c r="AC45" i="1" s="1"/>
  <c r="Y52" i="1"/>
  <c r="AC52" i="1" s="1"/>
  <c r="AC78" i="1" l="1"/>
  <c r="AD78" i="1" s="1"/>
  <c r="AE78" i="1" s="1"/>
  <c r="AA15" i="1"/>
  <c r="AD52" i="1"/>
  <c r="AE52" i="1" s="1"/>
  <c r="AD45" i="1"/>
  <c r="AE45" i="1" s="1"/>
  <c r="AD47" i="1"/>
  <c r="AE47" i="1" s="1"/>
  <c r="AD72" i="1"/>
  <c r="AE72" i="1" s="1"/>
  <c r="AD28" i="1"/>
  <c r="AE28" i="1" s="1"/>
  <c r="AD54" i="1"/>
  <c r="AE54" i="1" s="1"/>
  <c r="AD21" i="1"/>
  <c r="AE21" i="1" s="1"/>
  <c r="AD38" i="1"/>
  <c r="AE38" i="1" s="1"/>
  <c r="AD49" i="1"/>
  <c r="AE49" i="1" s="1"/>
  <c r="AD53" i="1"/>
  <c r="AE53" i="1" s="1"/>
  <c r="AD42" i="1"/>
  <c r="AE42" i="1" s="1"/>
  <c r="AD43" i="1"/>
  <c r="AE43" i="1" s="1"/>
  <c r="AD19" i="1"/>
  <c r="AE19" i="1" s="1"/>
  <c r="AD29" i="1"/>
  <c r="AE29" i="1" s="1"/>
  <c r="AD30" i="1"/>
  <c r="AE30" i="1" s="1"/>
  <c r="AD70" i="1"/>
  <c r="AE70" i="1" s="1"/>
  <c r="AD32" i="1"/>
  <c r="AE32" i="1" s="1"/>
  <c r="AD57" i="1"/>
  <c r="AE57" i="1" s="1"/>
  <c r="AD75" i="1"/>
  <c r="AE75" i="1" s="1"/>
  <c r="Y37" i="1"/>
  <c r="AC37" i="1" s="1"/>
  <c r="AD37" i="1" l="1"/>
  <c r="AE37" i="1" s="1"/>
  <c r="W32" i="1"/>
  <c r="Y56" i="1" l="1"/>
  <c r="Y35" i="1"/>
  <c r="Y60" i="1"/>
  <c r="AC60" i="1" s="1"/>
  <c r="Y64" i="1"/>
  <c r="Y51" i="1"/>
  <c r="AD89" i="1"/>
  <c r="AD88" i="1" s="1"/>
  <c r="AD87" i="1" s="1"/>
  <c r="J21" i="1"/>
  <c r="AF21" i="1" s="1"/>
  <c r="V83" i="1"/>
  <c r="U83" i="1"/>
  <c r="T83" i="1"/>
  <c r="S83" i="1"/>
  <c r="R83" i="1"/>
  <c r="Q83" i="1"/>
  <c r="P83" i="1"/>
  <c r="L83" i="1"/>
  <c r="K83" i="1"/>
  <c r="I83" i="1"/>
  <c r="I82" i="1" s="1"/>
  <c r="H83" i="1"/>
  <c r="W85" i="1"/>
  <c r="N85" i="1"/>
  <c r="M85" i="1"/>
  <c r="J85" i="1"/>
  <c r="AF85" i="1" s="1"/>
  <c r="AC35" i="1" l="1"/>
  <c r="AD35" i="1" s="1"/>
  <c r="AE35" i="1" s="1"/>
  <c r="AC64" i="1"/>
  <c r="AD64" i="1" s="1"/>
  <c r="AE64" i="1" s="1"/>
  <c r="O85" i="1"/>
  <c r="AD51" i="1"/>
  <c r="AE51" i="1" s="1"/>
  <c r="AC51" i="1"/>
  <c r="AD56" i="1"/>
  <c r="AE56" i="1" s="1"/>
  <c r="AC56" i="1"/>
  <c r="AD60" i="1"/>
  <c r="AE60" i="1" s="1"/>
  <c r="Y59" i="1"/>
  <c r="Y18" i="1"/>
  <c r="Y40" i="1"/>
  <c r="AC40" i="1" s="1"/>
  <c r="Y67" i="1"/>
  <c r="AC67" i="1" s="1"/>
  <c r="Y26" i="1"/>
  <c r="Y50" i="1"/>
  <c r="W84" i="1"/>
  <c r="W83" i="1" s="1"/>
  <c r="W61" i="1"/>
  <c r="W63" i="1"/>
  <c r="W62" i="1"/>
  <c r="W70" i="1"/>
  <c r="W30" i="1"/>
  <c r="W19" i="1"/>
  <c r="W57" i="1"/>
  <c r="W28" i="1"/>
  <c r="W53" i="1"/>
  <c r="W49" i="1"/>
  <c r="W38" i="1"/>
  <c r="W21" i="1"/>
  <c r="W72" i="1"/>
  <c r="W47" i="1"/>
  <c r="W45" i="1"/>
  <c r="W54" i="1"/>
  <c r="W43" i="1"/>
  <c r="W29" i="1"/>
  <c r="W75" i="1"/>
  <c r="W52" i="1"/>
  <c r="W42" i="1"/>
  <c r="W80" i="1"/>
  <c r="W60" i="1"/>
  <c r="W31" i="1"/>
  <c r="AC18" i="1" l="1"/>
  <c r="AD18" i="1" s="1"/>
  <c r="AE18" i="1" s="1"/>
  <c r="AC26" i="1"/>
  <c r="AD26" i="1" s="1"/>
  <c r="AE26" i="1" s="1"/>
  <c r="AC59" i="1"/>
  <c r="AD59" i="1" s="1"/>
  <c r="AE59" i="1" s="1"/>
  <c r="AC50" i="1"/>
  <c r="AD50" i="1" s="1"/>
  <c r="AE50" i="1" s="1"/>
  <c r="Y66" i="1"/>
  <c r="AD67" i="1"/>
  <c r="AE67" i="1" s="1"/>
  <c r="Y39" i="1"/>
  <c r="AC39" i="1" s="1"/>
  <c r="AD40" i="1"/>
  <c r="AE40" i="1" s="1"/>
  <c r="Y17" i="1"/>
  <c r="V70" i="1"/>
  <c r="V30" i="1"/>
  <c r="V19" i="1"/>
  <c r="V53" i="1"/>
  <c r="V49" i="1"/>
  <c r="V38" i="1"/>
  <c r="V21" i="1"/>
  <c r="V72" i="1"/>
  <c r="V47" i="1"/>
  <c r="V45" i="1"/>
  <c r="V28" i="1"/>
  <c r="V57" i="1"/>
  <c r="V32" i="1"/>
  <c r="V37" i="1"/>
  <c r="AC17" i="1" l="1"/>
  <c r="AD17" i="1" s="1"/>
  <c r="AE17" i="1" s="1"/>
  <c r="AC66" i="1"/>
  <c r="AD66" i="1" s="1"/>
  <c r="AE66" i="1" s="1"/>
  <c r="Y16" i="1"/>
  <c r="AC16" i="1" s="1"/>
  <c r="AF16" i="1" s="1"/>
  <c r="V42" i="1"/>
  <c r="V43" i="1"/>
  <c r="V75" i="1"/>
  <c r="Y15" i="1" l="1"/>
  <c r="AC15" i="1" s="1"/>
  <c r="V56" i="1"/>
  <c r="V29" i="1"/>
  <c r="W51" i="1"/>
  <c r="V54" i="1"/>
  <c r="V64" i="1"/>
  <c r="AD16" i="1" l="1"/>
  <c r="AE16" i="1" s="1"/>
  <c r="AF15" i="1"/>
  <c r="AD15" i="1"/>
  <c r="AE15" i="1" s="1"/>
  <c r="U19" i="1"/>
  <c r="U70" i="1"/>
  <c r="U30" i="1"/>
  <c r="U57" i="1"/>
  <c r="U53" i="1"/>
  <c r="U49" i="1"/>
  <c r="U32" i="1"/>
  <c r="U38" i="1"/>
  <c r="U21" i="1"/>
  <c r="U54" i="1"/>
  <c r="U75" i="1"/>
  <c r="U28" i="1"/>
  <c r="U72" i="1" l="1"/>
  <c r="U47" i="1"/>
  <c r="U45" i="1"/>
  <c r="U52" i="1" l="1"/>
  <c r="U43" i="1"/>
  <c r="U42" i="1"/>
  <c r="U29" i="1"/>
  <c r="T43" i="1" l="1"/>
  <c r="T41" i="1"/>
  <c r="T57" i="1"/>
  <c r="T32" i="1"/>
  <c r="T28" i="1"/>
  <c r="T70" i="1"/>
  <c r="T30" i="1"/>
  <c r="T19" i="1"/>
  <c r="T75" i="1"/>
  <c r="T54" i="1"/>
  <c r="T52" i="1"/>
  <c r="T53" i="1"/>
  <c r="T49" i="1"/>
  <c r="T38" i="1"/>
  <c r="T72" i="1"/>
  <c r="T47" i="1"/>
  <c r="T45" i="1"/>
  <c r="T37" i="1"/>
  <c r="T29" i="1" l="1"/>
  <c r="T42" i="1"/>
  <c r="AE92" i="1"/>
  <c r="AE87" i="1"/>
  <c r="AE88" i="1"/>
  <c r="AE89" i="1"/>
  <c r="AE90" i="1"/>
  <c r="AE91" i="1"/>
  <c r="AE86" i="1" l="1"/>
  <c r="J86" i="1"/>
  <c r="AF86" i="1" s="1"/>
  <c r="J84" i="1"/>
  <c r="AF84" i="1" s="1"/>
  <c r="J65" i="1"/>
  <c r="AF65" i="1" s="1"/>
  <c r="J62" i="1"/>
  <c r="AF62" i="1" s="1"/>
  <c r="J61" i="1"/>
  <c r="AF61" i="1" s="1"/>
  <c r="I89" i="1"/>
  <c r="I88" i="1" s="1"/>
  <c r="I87" i="1" s="1"/>
  <c r="I80" i="1"/>
  <c r="I79" i="1" s="1"/>
  <c r="I67" i="1"/>
  <c r="I66" i="1" s="1"/>
  <c r="I64" i="1"/>
  <c r="I60" i="1"/>
  <c r="J83" i="1" l="1"/>
  <c r="AF83" i="1" s="1"/>
  <c r="I59" i="1"/>
  <c r="T35" i="1" l="1"/>
  <c r="W82" i="1"/>
  <c r="V82" i="1"/>
  <c r="U82" i="1"/>
  <c r="V80" i="1"/>
  <c r="V79" i="1" s="1"/>
  <c r="U80" i="1"/>
  <c r="W79" i="1"/>
  <c r="U79" i="1"/>
  <c r="W67" i="1"/>
  <c r="W66" i="1" s="1"/>
  <c r="V67" i="1"/>
  <c r="V66" i="1" s="1"/>
  <c r="U67" i="1"/>
  <c r="U66" i="1" s="1"/>
  <c r="W64" i="1"/>
  <c r="W59" i="1" s="1"/>
  <c r="U64" i="1"/>
  <c r="V60" i="1"/>
  <c r="V59" i="1" s="1"/>
  <c r="U60" i="1"/>
  <c r="U59" i="1" s="1"/>
  <c r="W56" i="1"/>
  <c r="U56" i="1"/>
  <c r="V51" i="1"/>
  <c r="U51" i="1"/>
  <c r="W40" i="1"/>
  <c r="W39" i="1" s="1"/>
  <c r="V40" i="1"/>
  <c r="V39" i="1" s="1"/>
  <c r="U40" i="1"/>
  <c r="U39" i="1" s="1"/>
  <c r="W35" i="1"/>
  <c r="V35" i="1"/>
  <c r="U35" i="1"/>
  <c r="W26" i="1"/>
  <c r="V26" i="1"/>
  <c r="U26" i="1"/>
  <c r="W18" i="1"/>
  <c r="V18" i="1"/>
  <c r="U18" i="1"/>
  <c r="T80" i="1"/>
  <c r="T64" i="1"/>
  <c r="T79" i="1" l="1"/>
  <c r="W78" i="1"/>
  <c r="W50" i="1"/>
  <c r="W17" i="1"/>
  <c r="V50" i="1"/>
  <c r="V17" i="1"/>
  <c r="U78" i="1"/>
  <c r="U50" i="1"/>
  <c r="U17" i="1"/>
  <c r="T40" i="1"/>
  <c r="T51" i="1"/>
  <c r="T18" i="1"/>
  <c r="T56" i="1"/>
  <c r="T60" i="1"/>
  <c r="T67" i="1"/>
  <c r="T26" i="1"/>
  <c r="V78" i="1"/>
  <c r="T59" i="1"/>
  <c r="T82" i="1"/>
  <c r="S82" i="1"/>
  <c r="S78" i="1" s="1"/>
  <c r="R82" i="1"/>
  <c r="Q82" i="1"/>
  <c r="P82" i="1"/>
  <c r="Q80" i="1"/>
  <c r="Q79" i="1" s="1"/>
  <c r="P80" i="1"/>
  <c r="P79" i="1"/>
  <c r="P78" i="1" s="1"/>
  <c r="R78" i="1"/>
  <c r="S75" i="1"/>
  <c r="R75" i="1"/>
  <c r="Q75" i="1"/>
  <c r="S72" i="1"/>
  <c r="R72" i="1"/>
  <c r="Q72" i="1"/>
  <c r="S70" i="1"/>
  <c r="R70" i="1"/>
  <c r="Q70" i="1"/>
  <c r="P67" i="1"/>
  <c r="P66" i="1" s="1"/>
  <c r="S64" i="1"/>
  <c r="R64" i="1"/>
  <c r="Q64" i="1"/>
  <c r="P64" i="1"/>
  <c r="S60" i="1"/>
  <c r="R60" i="1"/>
  <c r="Q60" i="1"/>
  <c r="P60" i="1"/>
  <c r="S59" i="1"/>
  <c r="R59" i="1"/>
  <c r="Q59" i="1"/>
  <c r="P59" i="1"/>
  <c r="S57" i="1"/>
  <c r="S56" i="1" s="1"/>
  <c r="R57" i="1"/>
  <c r="R56" i="1" s="1"/>
  <c r="Q57" i="1"/>
  <c r="Q56" i="1"/>
  <c r="P56" i="1"/>
  <c r="S54" i="1"/>
  <c r="R54" i="1"/>
  <c r="Q54" i="1"/>
  <c r="S53" i="1"/>
  <c r="R53" i="1"/>
  <c r="Q53" i="1"/>
  <c r="R52" i="1"/>
  <c r="Q52" i="1"/>
  <c r="P51" i="1"/>
  <c r="P50" i="1" s="1"/>
  <c r="S49" i="1"/>
  <c r="R49" i="1"/>
  <c r="Q49" i="1"/>
  <c r="S47" i="1"/>
  <c r="R47" i="1"/>
  <c r="Q47" i="1"/>
  <c r="S45" i="1"/>
  <c r="R45" i="1"/>
  <c r="Q45" i="1"/>
  <c r="S43" i="1"/>
  <c r="R43" i="1"/>
  <c r="Q43" i="1"/>
  <c r="S42" i="1"/>
  <c r="R42" i="1"/>
  <c r="Q42" i="1"/>
  <c r="P40" i="1"/>
  <c r="P39" i="1" s="1"/>
  <c r="S38" i="1"/>
  <c r="R38" i="1"/>
  <c r="R35" i="1" s="1"/>
  <c r="Q38" i="1"/>
  <c r="Q37" i="1"/>
  <c r="S35" i="1"/>
  <c r="P35" i="1"/>
  <c r="S32" i="1"/>
  <c r="R32" i="1"/>
  <c r="Q32" i="1"/>
  <c r="S30" i="1"/>
  <c r="R30" i="1"/>
  <c r="Q30" i="1"/>
  <c r="S29" i="1"/>
  <c r="R29" i="1"/>
  <c r="Q29" i="1"/>
  <c r="S28" i="1"/>
  <c r="R28" i="1"/>
  <c r="Q28" i="1"/>
  <c r="P26" i="1"/>
  <c r="S21" i="1"/>
  <c r="R21" i="1"/>
  <c r="Q21" i="1"/>
  <c r="S19" i="1"/>
  <c r="R19" i="1"/>
  <c r="Q19" i="1"/>
  <c r="P18" i="1"/>
  <c r="O92" i="1"/>
  <c r="O89" i="1" s="1"/>
  <c r="O88" i="1" s="1"/>
  <c r="O87" i="1" s="1"/>
  <c r="O91" i="1"/>
  <c r="O90" i="1"/>
  <c r="J89" i="1"/>
  <c r="J88" i="1" s="1"/>
  <c r="J87" i="1" s="1"/>
  <c r="H89" i="1"/>
  <c r="H88" i="1" s="1"/>
  <c r="H87" i="1" s="1"/>
  <c r="N86" i="1"/>
  <c r="N83" i="1" s="1"/>
  <c r="N82" i="1" s="1"/>
  <c r="N78" i="1" s="1"/>
  <c r="M86" i="1"/>
  <c r="O86" i="1" s="1"/>
  <c r="M84" i="1"/>
  <c r="H82" i="1"/>
  <c r="J82" i="1"/>
  <c r="AF82" i="1" s="1"/>
  <c r="J81" i="1"/>
  <c r="AF81" i="1" s="1"/>
  <c r="M80" i="1"/>
  <c r="M79" i="1" s="1"/>
  <c r="L80" i="1"/>
  <c r="K80" i="1"/>
  <c r="K79" i="1" s="1"/>
  <c r="J80" i="1"/>
  <c r="H80" i="1"/>
  <c r="H79" i="1" s="1"/>
  <c r="L79" i="1"/>
  <c r="L78" i="1" s="1"/>
  <c r="O77" i="1"/>
  <c r="J77" i="1"/>
  <c r="AF77" i="1" s="1"/>
  <c r="O76" i="1"/>
  <c r="J76" i="1"/>
  <c r="AF76" i="1" s="1"/>
  <c r="N75" i="1"/>
  <c r="M75" i="1"/>
  <c r="L75" i="1"/>
  <c r="K75" i="1"/>
  <c r="J75" i="1"/>
  <c r="AF75" i="1" s="1"/>
  <c r="O74" i="1"/>
  <c r="J74" i="1"/>
  <c r="AF74" i="1" s="1"/>
  <c r="O73" i="1"/>
  <c r="J73" i="1"/>
  <c r="AF73" i="1" s="1"/>
  <c r="N72" i="1"/>
  <c r="M72" i="1"/>
  <c r="L72" i="1"/>
  <c r="K72" i="1"/>
  <c r="J72" i="1"/>
  <c r="AF72" i="1" s="1"/>
  <c r="O71" i="1"/>
  <c r="J71" i="1"/>
  <c r="AF71" i="1" s="1"/>
  <c r="N70" i="1"/>
  <c r="M70" i="1"/>
  <c r="L70" i="1"/>
  <c r="K70" i="1"/>
  <c r="J70" i="1"/>
  <c r="AF70" i="1" s="1"/>
  <c r="O69" i="1"/>
  <c r="J69" i="1"/>
  <c r="AF69" i="1" s="1"/>
  <c r="O68" i="1"/>
  <c r="J68" i="1"/>
  <c r="AF68" i="1" s="1"/>
  <c r="L67" i="1"/>
  <c r="L66" i="1" s="1"/>
  <c r="H67" i="1"/>
  <c r="H66" i="1" s="1"/>
  <c r="M65" i="1"/>
  <c r="O65" i="1" s="1"/>
  <c r="N64" i="1"/>
  <c r="L64" i="1"/>
  <c r="K64" i="1"/>
  <c r="J64" i="1"/>
  <c r="AF64" i="1" s="1"/>
  <c r="H64" i="1"/>
  <c r="N63" i="1"/>
  <c r="N60" i="1" s="1"/>
  <c r="M63" i="1"/>
  <c r="J63" i="1"/>
  <c r="AF63" i="1" s="1"/>
  <c r="M62" i="1"/>
  <c r="O62" i="1" s="1"/>
  <c r="M61" i="1"/>
  <c r="O61" i="1" s="1"/>
  <c r="L60" i="1"/>
  <c r="K60" i="1"/>
  <c r="H60" i="1"/>
  <c r="H59" i="1" s="1"/>
  <c r="O58" i="1"/>
  <c r="J58" i="1"/>
  <c r="AF58" i="1" s="1"/>
  <c r="N57" i="1"/>
  <c r="N56" i="1" s="1"/>
  <c r="M57" i="1"/>
  <c r="M56" i="1" s="1"/>
  <c r="L57" i="1"/>
  <c r="L56" i="1" s="1"/>
  <c r="K57" i="1"/>
  <c r="K56" i="1" s="1"/>
  <c r="J57" i="1"/>
  <c r="AF57" i="1" s="1"/>
  <c r="I56" i="1"/>
  <c r="H56" i="1"/>
  <c r="O55" i="1"/>
  <c r="J55" i="1"/>
  <c r="AF55" i="1" s="1"/>
  <c r="N54" i="1"/>
  <c r="O54" i="1" s="1"/>
  <c r="J54" i="1"/>
  <c r="AF54" i="1" s="1"/>
  <c r="N53" i="1"/>
  <c r="M53" i="1"/>
  <c r="J53" i="1"/>
  <c r="AF53" i="1" s="1"/>
  <c r="N52" i="1"/>
  <c r="M52" i="1"/>
  <c r="L52" i="1"/>
  <c r="L51" i="1" s="1"/>
  <c r="K52" i="1"/>
  <c r="K51" i="1" s="1"/>
  <c r="J52" i="1"/>
  <c r="AF52" i="1" s="1"/>
  <c r="I51" i="1"/>
  <c r="H51" i="1"/>
  <c r="N49" i="1"/>
  <c r="M49" i="1"/>
  <c r="J49" i="1"/>
  <c r="AF49" i="1" s="1"/>
  <c r="O48" i="1"/>
  <c r="J48" i="1"/>
  <c r="AF48" i="1" s="1"/>
  <c r="N47" i="1"/>
  <c r="M47" i="1"/>
  <c r="L47" i="1"/>
  <c r="K47" i="1"/>
  <c r="J47" i="1"/>
  <c r="AF47" i="1" s="1"/>
  <c r="O46" i="1"/>
  <c r="J46" i="1"/>
  <c r="AF46" i="1" s="1"/>
  <c r="N45" i="1"/>
  <c r="M45" i="1"/>
  <c r="L45" i="1"/>
  <c r="K45" i="1"/>
  <c r="J45" i="1"/>
  <c r="AF45" i="1" s="1"/>
  <c r="N44" i="1"/>
  <c r="O44" i="1" s="1"/>
  <c r="J44" i="1"/>
  <c r="AF44" i="1" s="1"/>
  <c r="N43" i="1"/>
  <c r="M43" i="1"/>
  <c r="L43" i="1"/>
  <c r="K43" i="1"/>
  <c r="J43" i="1"/>
  <c r="AF43" i="1" s="1"/>
  <c r="N42" i="1"/>
  <c r="M42" i="1"/>
  <c r="L42" i="1"/>
  <c r="K42" i="1"/>
  <c r="J42" i="1"/>
  <c r="AF42" i="1" s="1"/>
  <c r="N41" i="1"/>
  <c r="K41" i="1"/>
  <c r="J41" i="1"/>
  <c r="AF41" i="1" s="1"/>
  <c r="I40" i="1"/>
  <c r="I39" i="1" s="1"/>
  <c r="H40" i="1"/>
  <c r="H39" i="1" s="1"/>
  <c r="N38" i="1"/>
  <c r="M38" i="1"/>
  <c r="J38" i="1"/>
  <c r="AF38" i="1" s="1"/>
  <c r="N37" i="1"/>
  <c r="M37" i="1"/>
  <c r="L37" i="1"/>
  <c r="L35" i="1" s="1"/>
  <c r="J37" i="1"/>
  <c r="AF37" i="1" s="1"/>
  <c r="O36" i="1"/>
  <c r="J36" i="1"/>
  <c r="AF36" i="1" s="1"/>
  <c r="K35" i="1"/>
  <c r="I35" i="1"/>
  <c r="H35" i="1"/>
  <c r="O34" i="1"/>
  <c r="J34" i="1"/>
  <c r="AF34" i="1" s="1"/>
  <c r="O33" i="1"/>
  <c r="J33" i="1"/>
  <c r="AF33" i="1" s="1"/>
  <c r="N32" i="1"/>
  <c r="M32" i="1"/>
  <c r="L32" i="1"/>
  <c r="K32" i="1"/>
  <c r="J32" i="1"/>
  <c r="AF32" i="1" s="1"/>
  <c r="L31" i="1"/>
  <c r="O31" i="1" s="1"/>
  <c r="J31" i="1"/>
  <c r="AF31" i="1" s="1"/>
  <c r="N30" i="1"/>
  <c r="M30" i="1"/>
  <c r="L30" i="1"/>
  <c r="K30" i="1"/>
  <c r="J30" i="1"/>
  <c r="AF30" i="1" s="1"/>
  <c r="N29" i="1"/>
  <c r="M29" i="1"/>
  <c r="L29" i="1"/>
  <c r="K29" i="1"/>
  <c r="J29" i="1"/>
  <c r="AF29" i="1" s="1"/>
  <c r="N28" i="1"/>
  <c r="M28" i="1"/>
  <c r="L28" i="1"/>
  <c r="K28" i="1"/>
  <c r="J28" i="1"/>
  <c r="AF28" i="1" s="1"/>
  <c r="O27" i="1"/>
  <c r="J27" i="1"/>
  <c r="AF27" i="1" s="1"/>
  <c r="I26" i="1"/>
  <c r="H26" i="1"/>
  <c r="O25" i="1"/>
  <c r="J25" i="1"/>
  <c r="AF25" i="1" s="1"/>
  <c r="O24" i="1"/>
  <c r="J24" i="1"/>
  <c r="AF24" i="1" s="1"/>
  <c r="O23" i="1"/>
  <c r="O22" i="1"/>
  <c r="J22" i="1"/>
  <c r="AF22" i="1" s="1"/>
  <c r="N21" i="1"/>
  <c r="M21" i="1"/>
  <c r="O20" i="1"/>
  <c r="J20" i="1"/>
  <c r="AF20" i="1" s="1"/>
  <c r="N19" i="1"/>
  <c r="M19" i="1"/>
  <c r="L19" i="1"/>
  <c r="L18" i="1" s="1"/>
  <c r="K19" i="1"/>
  <c r="J19" i="1"/>
  <c r="AF19" i="1" s="1"/>
  <c r="K18" i="1"/>
  <c r="I18" i="1"/>
  <c r="H18" i="1"/>
  <c r="Q67" i="1" l="1"/>
  <c r="P17" i="1"/>
  <c r="Q40" i="1"/>
  <c r="Q51" i="1"/>
  <c r="Q50" i="1" s="1"/>
  <c r="S51" i="1"/>
  <c r="S50" i="1" s="1"/>
  <c r="U16" i="1"/>
  <c r="J79" i="1"/>
  <c r="AF79" i="1" s="1"/>
  <c r="AF80" i="1"/>
  <c r="K59" i="1"/>
  <c r="N59" i="1"/>
  <c r="U15" i="1"/>
  <c r="M26" i="1"/>
  <c r="N35" i="1"/>
  <c r="J60" i="1"/>
  <c r="O84" i="1"/>
  <c r="O83" i="1" s="1"/>
  <c r="M83" i="1"/>
  <c r="M82" i="1" s="1"/>
  <c r="L59" i="1"/>
  <c r="P16" i="1"/>
  <c r="H17" i="1"/>
  <c r="J18" i="1"/>
  <c r="AF18" i="1" s="1"/>
  <c r="N18" i="1"/>
  <c r="M18" i="1"/>
  <c r="O18" i="1" s="1"/>
  <c r="I50" i="1"/>
  <c r="J78" i="1"/>
  <c r="AF78" i="1" s="1"/>
  <c r="R18" i="1"/>
  <c r="R40" i="1"/>
  <c r="R39" i="1" s="1"/>
  <c r="R67" i="1"/>
  <c r="R66" i="1" s="1"/>
  <c r="W16" i="1"/>
  <c r="W15" i="1" s="1"/>
  <c r="V16" i="1"/>
  <c r="V15" i="1" s="1"/>
  <c r="T50" i="1"/>
  <c r="T66" i="1"/>
  <c r="T39" i="1"/>
  <c r="T78" i="1"/>
  <c r="T17" i="1"/>
  <c r="J40" i="1"/>
  <c r="N40" i="1"/>
  <c r="N39" i="1" s="1"/>
  <c r="O42" i="1"/>
  <c r="L40" i="1"/>
  <c r="L39" i="1" s="1"/>
  <c r="J51" i="1"/>
  <c r="AF51" i="1" s="1"/>
  <c r="N51" i="1"/>
  <c r="J67" i="1"/>
  <c r="N67" i="1"/>
  <c r="N66" i="1" s="1"/>
  <c r="Q26" i="1"/>
  <c r="S26" i="1"/>
  <c r="L50" i="1"/>
  <c r="R26" i="1"/>
  <c r="R17" i="1" s="1"/>
  <c r="S67" i="1"/>
  <c r="S66" i="1" s="1"/>
  <c r="L26" i="1"/>
  <c r="L17" i="1" s="1"/>
  <c r="N26" i="1"/>
  <c r="N17" i="1" s="1"/>
  <c r="K26" i="1"/>
  <c r="O32" i="1"/>
  <c r="O47" i="1"/>
  <c r="H50" i="1"/>
  <c r="M51" i="1"/>
  <c r="M50" i="1" s="1"/>
  <c r="J56" i="1"/>
  <c r="AF56" i="1" s="1"/>
  <c r="K67" i="1"/>
  <c r="K66" i="1" s="1"/>
  <c r="M67" i="1"/>
  <c r="M66" i="1" s="1"/>
  <c r="Q18" i="1"/>
  <c r="S18" i="1"/>
  <c r="S17" i="1" s="1"/>
  <c r="Q35" i="1"/>
  <c r="S40" i="1"/>
  <c r="S39" i="1" s="1"/>
  <c r="R51" i="1"/>
  <c r="R50" i="1" s="1"/>
  <c r="Q66" i="1"/>
  <c r="Q39" i="1"/>
  <c r="P15" i="1"/>
  <c r="N50" i="1"/>
  <c r="H78" i="1"/>
  <c r="J35" i="1"/>
  <c r="AF35" i="1" s="1"/>
  <c r="M35" i="1"/>
  <c r="O35" i="1" s="1"/>
  <c r="K40" i="1"/>
  <c r="O43" i="1"/>
  <c r="M40" i="1"/>
  <c r="M39" i="1" s="1"/>
  <c r="O45" i="1"/>
  <c r="O49" i="1"/>
  <c r="O53" i="1"/>
  <c r="O56" i="1"/>
  <c r="O63" i="1"/>
  <c r="O72" i="1"/>
  <c r="O75" i="1"/>
  <c r="O51" i="1"/>
  <c r="K50" i="1"/>
  <c r="K17" i="1"/>
  <c r="O29" i="1"/>
  <c r="O37" i="1"/>
  <c r="I17" i="1"/>
  <c r="O19" i="1"/>
  <c r="O21" i="1"/>
  <c r="J26" i="1"/>
  <c r="AF26" i="1" s="1"/>
  <c r="O28" i="1"/>
  <c r="O30" i="1"/>
  <c r="O38" i="1"/>
  <c r="O41" i="1"/>
  <c r="O52" i="1"/>
  <c r="O57" i="1"/>
  <c r="O70" i="1"/>
  <c r="M60" i="1"/>
  <c r="M64" i="1"/>
  <c r="O64" i="1" s="1"/>
  <c r="K82" i="1"/>
  <c r="O26" i="1" l="1"/>
  <c r="H16" i="1"/>
  <c r="O67" i="1"/>
  <c r="L16" i="1"/>
  <c r="L15" i="1" s="1"/>
  <c r="M17" i="1"/>
  <c r="J59" i="1"/>
  <c r="AF59" i="1" s="1"/>
  <c r="AF60" i="1"/>
  <c r="J66" i="1"/>
  <c r="AF66" i="1" s="1"/>
  <c r="AF67" i="1"/>
  <c r="J39" i="1"/>
  <c r="AF40" i="1"/>
  <c r="Q17" i="1"/>
  <c r="Q16" i="1" s="1"/>
  <c r="J17" i="1"/>
  <c r="AF17" i="1" s="1"/>
  <c r="J50" i="1"/>
  <c r="AF50" i="1" s="1"/>
  <c r="T16" i="1"/>
  <c r="S16" i="1"/>
  <c r="S15" i="1" s="1"/>
  <c r="O66" i="1"/>
  <c r="N16" i="1"/>
  <c r="N15" i="1" s="1"/>
  <c r="R16" i="1"/>
  <c r="R15" i="1" s="1"/>
  <c r="O82" i="1"/>
  <c r="O50" i="1"/>
  <c r="O40" i="1"/>
  <c r="K39" i="1"/>
  <c r="O39" i="1" s="1"/>
  <c r="O17" i="1"/>
  <c r="M59" i="1"/>
  <c r="O59" i="1" s="1"/>
  <c r="O60" i="1"/>
  <c r="K78" i="1"/>
  <c r="O78" i="1" s="1"/>
  <c r="M16" i="1" l="1"/>
  <c r="M15" i="1" s="1"/>
  <c r="T15" i="1"/>
  <c r="K16" i="1"/>
  <c r="O16" i="1" s="1"/>
  <c r="Q15" i="1"/>
  <c r="K15" i="1" l="1"/>
  <c r="O15" i="1" s="1"/>
  <c r="AF39" i="1"/>
  <c r="AD39" i="1" l="1"/>
  <c r="AE39" i="1" s="1"/>
</calcChain>
</file>

<file path=xl/sharedStrings.xml><?xml version="1.0" encoding="utf-8"?>
<sst xmlns="http://schemas.openxmlformats.org/spreadsheetml/2006/main" count="225" uniqueCount="141">
  <si>
    <t xml:space="preserve">  EJECUCION PRESUPUESTARIA DE INGRESOS</t>
  </si>
  <si>
    <t>ANEXO B-06-04</t>
  </si>
  <si>
    <t xml:space="preserve">Nivel:  </t>
  </si>
  <si>
    <t>Entidad: 137 MUNICIPALIDAD DE GRAL. BERNARDINO CABALLERO</t>
  </si>
  <si>
    <t>1º Cuatrimestre 2.017</t>
  </si>
  <si>
    <t>Grupo</t>
  </si>
  <si>
    <t>Sub Grupo</t>
  </si>
  <si>
    <t>Origen</t>
  </si>
  <si>
    <t>Detalle</t>
  </si>
  <si>
    <t>F.F.</t>
  </si>
  <si>
    <t>O.F</t>
  </si>
  <si>
    <t>Descripción</t>
  </si>
  <si>
    <t>Presupuesto Inicial</t>
  </si>
  <si>
    <t>Modificaciones</t>
  </si>
  <si>
    <t>Presupuesto Vigente                      3 = 1+2</t>
  </si>
  <si>
    <t>ENERO</t>
  </si>
  <si>
    <t>FEBRERO</t>
  </si>
  <si>
    <t>MARZO</t>
  </si>
  <si>
    <t>ABRIL</t>
  </si>
  <si>
    <t>ACUMULADO 1ER CUATRIMESTRE</t>
  </si>
  <si>
    <t xml:space="preserve">Total  Devengado       </t>
  </si>
  <si>
    <t xml:space="preserve">Total   Recaudado </t>
  </si>
  <si>
    <t>% de Ejecución</t>
  </si>
  <si>
    <t>TOTAL INGRESOS</t>
  </si>
  <si>
    <t>INGRESOS CORRIENTES</t>
  </si>
  <si>
    <t>INGRESOS TRIBUTARIOS</t>
  </si>
  <si>
    <t>Impuesto s/ la Propiedad</t>
  </si>
  <si>
    <t>001.</t>
  </si>
  <si>
    <t>Impuesto Inmobiliario</t>
  </si>
  <si>
    <t>003.</t>
  </si>
  <si>
    <t>Impuesto Adicional a los Baldíos</t>
  </si>
  <si>
    <t>004.</t>
  </si>
  <si>
    <t>Impuesto de Patente de Rodados</t>
  </si>
  <si>
    <t>005.</t>
  </si>
  <si>
    <t>Impuesto a la Construcción</t>
  </si>
  <si>
    <t>006.</t>
  </si>
  <si>
    <t>Impuesto al Fraccionamiento</t>
  </si>
  <si>
    <t>007.</t>
  </si>
  <si>
    <t>Impuesto a la Transferencia de Bienes Raíces</t>
  </si>
  <si>
    <t>011.</t>
  </si>
  <si>
    <t>Impuesto Adicional a Inmuebles de Gran Extens. Y a los latifundios</t>
  </si>
  <si>
    <t>Impuesto Interno s/ Bienes y Servicios</t>
  </si>
  <si>
    <t>Imp. A los Espectáculos Públicos y a los Juegos de Entretenim. y de azar</t>
  </si>
  <si>
    <t>012.,</t>
  </si>
  <si>
    <t>Impuesto de Patente a la Profesión, Comercio e Industria</t>
  </si>
  <si>
    <t>013.</t>
  </si>
  <si>
    <t>Impuesto a la Publicidad y Propaganda</t>
  </si>
  <si>
    <t>016.</t>
  </si>
  <si>
    <t>Impuesto al Transporte de Colectivos de Pasajeros</t>
  </si>
  <si>
    <t>017.</t>
  </si>
  <si>
    <t>Impuesto al Reg. Marcas y Señales de Hacienda y Legaliz. de Documentos</t>
  </si>
  <si>
    <t>018.</t>
  </si>
  <si>
    <t xml:space="preserve">Impuesto al papel Sellado y Estampilla Municipal </t>
  </si>
  <si>
    <t>019.</t>
  </si>
  <si>
    <t>Impuesto al Cementerio</t>
  </si>
  <si>
    <t>027.</t>
  </si>
  <si>
    <t>Impuesto al Faenamiento</t>
  </si>
  <si>
    <t>Otros Ingresos Tributarios</t>
  </si>
  <si>
    <t>Multas</t>
  </si>
  <si>
    <t>Contribucion Especial Adicional al Impuesto Inmobiliario (Art 166 inc. A) Ley 3966/10</t>
  </si>
  <si>
    <t>008.</t>
  </si>
  <si>
    <t>Contribucion Especial Adicional al Impuesto de Patentes de Rodados (Art 166 inc. b) Ley 3966/10</t>
  </si>
  <si>
    <t>INGRESOS NO TRIBUTARIOS</t>
  </si>
  <si>
    <t>Tasas y Derechos</t>
  </si>
  <si>
    <t>021.</t>
  </si>
  <si>
    <t>Tasas por Servicio de Salubridad</t>
  </si>
  <si>
    <t>022.</t>
  </si>
  <si>
    <t>Tasas por Const. Inspección de Pesas y Medidas</t>
  </si>
  <si>
    <t>023.</t>
  </si>
  <si>
    <t xml:space="preserve">Tasas por Inspección de Instalaciones </t>
  </si>
  <si>
    <t>024.</t>
  </si>
  <si>
    <t>Tasas por Servcios de Desinfección</t>
  </si>
  <si>
    <t>025.</t>
  </si>
  <si>
    <t>Tasas por Rec.de Basuras, Limp de vía Púb. y Cement</t>
  </si>
  <si>
    <t>026.</t>
  </si>
  <si>
    <t>Tasas por Tablada</t>
  </si>
  <si>
    <t>030.</t>
  </si>
  <si>
    <t>Tasas por Conservación de Parques, Jardines y Paseos Pùblicos</t>
  </si>
  <si>
    <t>032.</t>
  </si>
  <si>
    <t>Derecho de Explotación de Linea de Transporte de Pasaj. Del municipio</t>
  </si>
  <si>
    <t>033.</t>
  </si>
  <si>
    <t>Tasas por Servicios de Inspección de Autovehiculos</t>
  </si>
  <si>
    <t>VENTA DE BIENES Y SERVICIOS DE LA ADMINIS. PUBLICA</t>
  </si>
  <si>
    <t>Venta de Bienes y Servicios de la Adminis. Pública</t>
  </si>
  <si>
    <t>009.</t>
  </si>
  <si>
    <t>Prov. de Copias de Planos, Inf. Tec. Planillas de Costo de Res y Otros</t>
  </si>
  <si>
    <t>010.</t>
  </si>
  <si>
    <t>Provisión de Distintivo para Vehículos</t>
  </si>
  <si>
    <t>Registro de Conductor y Guarda</t>
  </si>
  <si>
    <t>Usuario de Energía Elécrica en el Mercado</t>
  </si>
  <si>
    <t>Venta de Servicios de la Administración Pública</t>
  </si>
  <si>
    <t xml:space="preserve">Servicios Técnicos y Administración General </t>
  </si>
  <si>
    <t>012.</t>
  </si>
  <si>
    <t>Servicios Varios</t>
  </si>
  <si>
    <t>TRANSFERENCIAS CORRIENTES</t>
  </si>
  <si>
    <t>Transf.. Consoli de Entidades y Org. del Estado por Capa.</t>
  </si>
  <si>
    <t>050.</t>
  </si>
  <si>
    <t>Ley 4758/2012 FONACIDE</t>
  </si>
  <si>
    <t>080.</t>
  </si>
  <si>
    <t>Aporte del Gobierno con Canon Fiscal (Juegos de Azar)</t>
  </si>
  <si>
    <t>070.</t>
  </si>
  <si>
    <t>Aporte del Gobierno Central  con Royalties</t>
  </si>
  <si>
    <t>Transferencias de Entidades y Organismos del Estado</t>
  </si>
  <si>
    <t>020.</t>
  </si>
  <si>
    <t>Aporte de Municipalidades (Menores Recursos)</t>
  </si>
  <si>
    <t>RENTAS DE LA PROPIEDAD</t>
  </si>
  <si>
    <t>Arrend. de Inmuebles, Tierras, Terrenos y Otros</t>
  </si>
  <si>
    <t xml:space="preserve">Usufructo de Tierra en el Cementerio </t>
  </si>
  <si>
    <t>Ocupación del Mercado Municipal</t>
  </si>
  <si>
    <t>Uso de Terminal de Ómnibus</t>
  </si>
  <si>
    <t>Ocupación Precaria de Bienes de Dominio Público</t>
  </si>
  <si>
    <t>014.</t>
  </si>
  <si>
    <t>Arrendamientos de terrenos y Predios Municipales</t>
  </si>
  <si>
    <t>015.</t>
  </si>
  <si>
    <t>Ocupación de Casillas, Mesas, Puestos de Ventas y Otros</t>
  </si>
  <si>
    <t>Uso de Matedero Municipal</t>
  </si>
  <si>
    <t>Uso de Piquete Municipal</t>
  </si>
  <si>
    <t>Uso de Piscina o Balneario Municipal.</t>
  </si>
  <si>
    <t>028.</t>
  </si>
  <si>
    <t>Uso de Teatro y Salon Municipal</t>
  </si>
  <si>
    <t>INGRESOS DE CAPITAL</t>
  </si>
  <si>
    <t>VENTA DE ACTIVO</t>
  </si>
  <si>
    <t>Venta de Activo de Capital</t>
  </si>
  <si>
    <t xml:space="preserve">    </t>
  </si>
  <si>
    <t>TRANSFERENCIA DE CAPITAL</t>
  </si>
  <si>
    <t>Trans. Consol. De Entidades y Org. Del Estado por Copar.</t>
  </si>
  <si>
    <t>RECURSOS DE FINANCIAMIENTO</t>
  </si>
  <si>
    <t>SALDO INICIAL EN CAJA</t>
  </si>
  <si>
    <t>Saldo Inicial de Recursos Institucionales</t>
  </si>
  <si>
    <t>Recursos con Afectacion Especifica-FONACIDE</t>
  </si>
  <si>
    <t>Recursos con Afectacion Especifica-MENORES RECURSOS</t>
  </si>
  <si>
    <t>Recursos con Afectacion Especifica-ROYALTIES</t>
  </si>
  <si>
    <t>Observación: los informes presentados al MH tendrán carácter de Declaración Juarada</t>
  </si>
  <si>
    <t>MAYO</t>
  </si>
  <si>
    <t>JUNIO</t>
  </si>
  <si>
    <t>JULIO</t>
  </si>
  <si>
    <t>AGOSTO</t>
  </si>
  <si>
    <t>2º Cuatrimestre 2.017</t>
  </si>
  <si>
    <t>,</t>
  </si>
  <si>
    <t>ACUMULADO TOTAL</t>
  </si>
  <si>
    <t>PERIODO 31/08/2018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</si>
</sst>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??\ _€_-;_-@_-"/>
    <numFmt numFmtId="165" formatCode="_-* #,##0.00_-;\-* #,##0.00_-;_-* &quot;-&quot;??_-;_-@_-"/>
  </numFmts>
  <fonts count="22" x14ac:knownFonts="1">
    <font>
      <sz val="10"/>
      <name val="Arial"/>
    </font>
    <font>
      <sz val="10"/>
      <name val="Arial"/>
    </font>
    <font>
      <sz val="10"/>
      <name val="Book Antiqua"/>
      <family val="1"/>
    </font>
    <font>
      <b/>
      <sz val="14"/>
      <name val="Book Antiqua"/>
      <family val="1"/>
    </font>
    <font>
      <b/>
      <sz val="10"/>
      <name val="Book Antiqua"/>
      <family val="1"/>
    </font>
    <font>
      <b/>
      <u/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Accounting"/>
      <sz val="10"/>
      <color indexed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u/>
      <sz val="9"/>
      <color indexed="8"/>
      <name val="Arial"/>
      <family val="2"/>
    </font>
    <font>
      <sz val="9"/>
      <color indexed="8"/>
      <name val="Arial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/>
    <xf numFmtId="164" fontId="8" fillId="2" borderId="9" xfId="1" applyNumberFormat="1" applyFont="1" applyFill="1" applyBorder="1"/>
    <xf numFmtId="164" fontId="8" fillId="2" borderId="9" xfId="1" applyNumberFormat="1" applyFont="1" applyFill="1" applyBorder="1" applyAlignment="1">
      <alignment horizontal="right"/>
    </xf>
    <xf numFmtId="0" fontId="5" fillId="2" borderId="0" xfId="0" applyFont="1" applyFill="1"/>
    <xf numFmtId="164" fontId="5" fillId="2" borderId="0" xfId="0" applyNumberFormat="1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9" fillId="2" borderId="9" xfId="0" applyFont="1" applyFill="1" applyBorder="1"/>
    <xf numFmtId="164" fontId="9" fillId="2" borderId="9" xfId="1" applyNumberFormat="1" applyFont="1" applyFill="1" applyBorder="1"/>
    <xf numFmtId="164" fontId="9" fillId="2" borderId="9" xfId="1" applyNumberFormat="1" applyFont="1" applyFill="1" applyBorder="1" applyAlignment="1">
      <alignment horizontal="center"/>
    </xf>
    <xf numFmtId="164" fontId="9" fillId="2" borderId="9" xfId="1" applyNumberFormat="1" applyFont="1" applyFill="1" applyBorder="1" applyAlignment="1">
      <alignment horizontal="right"/>
    </xf>
    <xf numFmtId="164" fontId="10" fillId="2" borderId="9" xfId="1" applyNumberFormat="1" applyFont="1" applyFill="1" applyBorder="1"/>
    <xf numFmtId="0" fontId="1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164" fontId="12" fillId="2" borderId="9" xfId="1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11" fillId="2" borderId="9" xfId="1" applyNumberFormat="1" applyFont="1" applyFill="1" applyBorder="1"/>
    <xf numFmtId="164" fontId="14" fillId="2" borderId="9" xfId="1" applyNumberFormat="1" applyFont="1" applyFill="1" applyBorder="1"/>
    <xf numFmtId="0" fontId="8" fillId="2" borderId="10" xfId="0" applyFont="1" applyFill="1" applyBorder="1"/>
    <xf numFmtId="0" fontId="9" fillId="2" borderId="10" xfId="0" applyFont="1" applyFill="1" applyBorder="1"/>
    <xf numFmtId="0" fontId="15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center"/>
    </xf>
    <xf numFmtId="0" fontId="16" fillId="2" borderId="0" xfId="0" quotePrefix="1" applyFont="1" applyFill="1" applyAlignment="1">
      <alignment vertical="center"/>
    </xf>
    <xf numFmtId="164" fontId="2" fillId="2" borderId="0" xfId="0" applyNumberFormat="1" applyFont="1" applyFill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0" fontId="17" fillId="2" borderId="0" xfId="0" applyFont="1" applyFill="1"/>
    <xf numFmtId="164" fontId="17" fillId="2" borderId="0" xfId="0" applyNumberFormat="1" applyFont="1" applyFill="1"/>
    <xf numFmtId="0" fontId="17" fillId="2" borderId="0" xfId="0" applyFont="1" applyFill="1" applyAlignment="1">
      <alignment horizontal="center"/>
    </xf>
    <xf numFmtId="164" fontId="19" fillId="2" borderId="9" xfId="1" applyNumberFormat="1" applyFont="1" applyFill="1" applyBorder="1"/>
    <xf numFmtId="164" fontId="20" fillId="2" borderId="9" xfId="1" applyNumberFormat="1" applyFont="1" applyFill="1" applyBorder="1"/>
    <xf numFmtId="164" fontId="14" fillId="2" borderId="9" xfId="1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1" fillId="2" borderId="9" xfId="1" applyNumberFormat="1" applyFont="1" applyFill="1" applyBorder="1" applyAlignment="1">
      <alignment horizontal="right"/>
    </xf>
    <xf numFmtId="0" fontId="4" fillId="5" borderId="0" xfId="0" applyFont="1" applyFill="1" applyAlignment="1">
      <alignment horizontal="center"/>
    </xf>
    <xf numFmtId="164" fontId="21" fillId="2" borderId="9" xfId="1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0</xdr:row>
          <xdr:rowOff>0</xdr:rowOff>
        </xdr:from>
        <xdr:to>
          <xdr:col>10</xdr:col>
          <xdr:colOff>0</xdr:colOff>
          <xdr:row>5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J97"/>
  <sheetViews>
    <sheetView tabSelected="1" topLeftCell="F1" zoomScale="80" zoomScaleNormal="80" workbookViewId="0">
      <selection activeCell="J17" sqref="J17"/>
    </sheetView>
  </sheetViews>
  <sheetFormatPr baseColWidth="10" defaultRowHeight="13.5" x14ac:dyDescent="0.25"/>
  <cols>
    <col min="1" max="1" width="5.28515625" style="1" customWidth="1"/>
    <col min="2" max="2" width="5.42578125" style="1" customWidth="1"/>
    <col min="3" max="3" width="5.7109375" style="1" customWidth="1"/>
    <col min="4" max="4" width="5.140625" style="1" customWidth="1"/>
    <col min="5" max="6" width="4.7109375" style="1" customWidth="1"/>
    <col min="7" max="7" width="32.5703125" style="1" customWidth="1"/>
    <col min="8" max="8" width="16.7109375" style="1" customWidth="1"/>
    <col min="9" max="9" width="14.5703125" style="1" customWidth="1"/>
    <col min="10" max="10" width="16.85546875" style="1" customWidth="1"/>
    <col min="11" max="11" width="14.5703125" style="1" hidden="1" customWidth="1"/>
    <col min="12" max="12" width="15.42578125" style="1" hidden="1" customWidth="1"/>
    <col min="13" max="13" width="17.7109375" style="1" hidden="1" customWidth="1"/>
    <col min="14" max="14" width="16.7109375" style="1" hidden="1" customWidth="1"/>
    <col min="15" max="15" width="16.85546875" style="1" hidden="1" customWidth="1"/>
    <col min="16" max="16" width="15.42578125" style="1" hidden="1" customWidth="1"/>
    <col min="17" max="17" width="15" style="1" hidden="1" customWidth="1"/>
    <col min="18" max="18" width="14.85546875" style="1" hidden="1" customWidth="1"/>
    <col min="19" max="19" width="18" style="1" hidden="1" customWidth="1"/>
    <col min="20" max="20" width="16.85546875" style="1" hidden="1" customWidth="1"/>
    <col min="21" max="21" width="14.5703125" style="1" hidden="1" customWidth="1"/>
    <col min="22" max="22" width="14.140625" style="1" hidden="1" customWidth="1"/>
    <col min="23" max="23" width="16.42578125" style="1" hidden="1" customWidth="1"/>
    <col min="24" max="24" width="16.85546875" style="1" hidden="1" customWidth="1"/>
    <col min="25" max="25" width="15.42578125" style="1" customWidth="1"/>
    <col min="26" max="26" width="14.7109375" style="1" customWidth="1"/>
    <col min="27" max="27" width="15.42578125" style="1" customWidth="1"/>
    <col min="28" max="28" width="15.140625" style="1" customWidth="1"/>
    <col min="29" max="29" width="16.85546875" style="1" customWidth="1"/>
    <col min="30" max="30" width="19" style="52" customWidth="1"/>
    <col min="31" max="31" width="16.85546875" style="1" customWidth="1"/>
    <col min="32" max="32" width="8.7109375" style="1" customWidth="1"/>
    <col min="33" max="33" width="21.42578125" style="3" customWidth="1"/>
    <col min="34" max="16384" width="11.42578125" style="1"/>
  </cols>
  <sheetData>
    <row r="3" spans="1:33" x14ac:dyDescent="0.25">
      <c r="AE3" s="2"/>
    </row>
    <row r="5" spans="1:33" x14ac:dyDescent="0.25">
      <c r="AE5" s="2"/>
    </row>
    <row r="7" spans="1:33" ht="18.75" x14ac:dyDescent="0.3">
      <c r="A7" s="79" t="s">
        <v>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</row>
    <row r="8" spans="1:33" ht="1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9"/>
      <c r="U8" s="4"/>
      <c r="V8" s="4"/>
      <c r="W8" s="4"/>
      <c r="X8" s="4"/>
      <c r="Y8" s="4"/>
      <c r="Z8" s="4"/>
      <c r="AA8" s="4"/>
      <c r="AB8" s="4"/>
      <c r="AC8" s="4"/>
      <c r="AD8" s="53"/>
      <c r="AE8" s="5" t="s">
        <v>1</v>
      </c>
    </row>
    <row r="9" spans="1:33" ht="1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3"/>
      <c r="AE9" s="5"/>
    </row>
    <row r="10" spans="1:33" ht="1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  <c r="M10" s="4"/>
      <c r="N10" s="4"/>
      <c r="O10" s="4"/>
      <c r="P10" s="4"/>
      <c r="Q10" s="4"/>
      <c r="R10" s="6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3"/>
      <c r="AE10" s="5"/>
    </row>
    <row r="11" spans="1:33" ht="15" x14ac:dyDescent="0.3">
      <c r="A11" s="7" t="s">
        <v>2</v>
      </c>
      <c r="B11" s="4">
        <v>30</v>
      </c>
      <c r="G11" s="7" t="s">
        <v>3</v>
      </c>
      <c r="J11" s="8"/>
      <c r="K11" s="2"/>
      <c r="L11" s="9" t="s">
        <v>4</v>
      </c>
      <c r="M11" s="2"/>
      <c r="N11" s="2"/>
      <c r="O11" s="2"/>
      <c r="P11" s="9" t="s">
        <v>137</v>
      </c>
      <c r="Q11" s="2"/>
      <c r="R11" s="2"/>
      <c r="S11" s="2"/>
      <c r="T11" s="51"/>
      <c r="U11" s="2"/>
      <c r="V11" s="2"/>
      <c r="W11" s="2"/>
      <c r="X11" s="2"/>
      <c r="Y11" s="2"/>
      <c r="Z11" s="2"/>
      <c r="AA11" s="2"/>
      <c r="AB11" s="2"/>
      <c r="AC11" s="2" t="s">
        <v>140</v>
      </c>
      <c r="AE11" s="2"/>
    </row>
    <row r="12" spans="1:33" s="10" customFormat="1" ht="14.25" thickBot="1" x14ac:dyDescent="0.3">
      <c r="H12" s="10">
        <v>1</v>
      </c>
      <c r="I12" s="10">
        <v>2</v>
      </c>
      <c r="J12" s="10">
        <v>3</v>
      </c>
      <c r="L12" s="11"/>
      <c r="AD12" s="54">
        <v>4</v>
      </c>
      <c r="AE12" s="10">
        <v>5</v>
      </c>
      <c r="AF12" s="10">
        <v>6</v>
      </c>
      <c r="AG12" s="12"/>
    </row>
    <row r="13" spans="1:33" s="14" customFormat="1" ht="30" customHeight="1" x14ac:dyDescent="0.2">
      <c r="A13" s="80" t="s">
        <v>5</v>
      </c>
      <c r="B13" s="71" t="s">
        <v>6</v>
      </c>
      <c r="C13" s="71" t="s">
        <v>7</v>
      </c>
      <c r="D13" s="71" t="s">
        <v>8</v>
      </c>
      <c r="E13" s="71" t="s">
        <v>9</v>
      </c>
      <c r="F13" s="71" t="s">
        <v>10</v>
      </c>
      <c r="G13" s="82" t="s">
        <v>11</v>
      </c>
      <c r="H13" s="71" t="s">
        <v>12</v>
      </c>
      <c r="I13" s="71" t="s">
        <v>13</v>
      </c>
      <c r="J13" s="71" t="s">
        <v>14</v>
      </c>
      <c r="K13" s="49" t="s">
        <v>15</v>
      </c>
      <c r="L13" s="49" t="s">
        <v>16</v>
      </c>
      <c r="M13" s="49" t="s">
        <v>17</v>
      </c>
      <c r="N13" s="49" t="s">
        <v>18</v>
      </c>
      <c r="O13" s="49" t="s">
        <v>19</v>
      </c>
      <c r="P13" s="47" t="s">
        <v>133</v>
      </c>
      <c r="Q13" s="47" t="s">
        <v>134</v>
      </c>
      <c r="R13" s="47" t="s">
        <v>135</v>
      </c>
      <c r="S13" s="47" t="s">
        <v>136</v>
      </c>
      <c r="T13" s="58" t="s">
        <v>15</v>
      </c>
      <c r="U13" s="58" t="s">
        <v>16</v>
      </c>
      <c r="V13" s="58" t="s">
        <v>17</v>
      </c>
      <c r="W13" s="58" t="s">
        <v>18</v>
      </c>
      <c r="X13" s="71" t="s">
        <v>19</v>
      </c>
      <c r="Y13" s="60" t="s">
        <v>133</v>
      </c>
      <c r="Z13" s="62" t="s">
        <v>134</v>
      </c>
      <c r="AA13" s="64" t="s">
        <v>135</v>
      </c>
      <c r="AB13" s="66" t="s">
        <v>136</v>
      </c>
      <c r="AC13" s="71" t="s">
        <v>139</v>
      </c>
      <c r="AD13" s="73" t="s">
        <v>20</v>
      </c>
      <c r="AE13" s="75" t="s">
        <v>21</v>
      </c>
      <c r="AF13" s="77" t="s">
        <v>22</v>
      </c>
      <c r="AG13" s="13"/>
    </row>
    <row r="14" spans="1:33" ht="30" customHeight="1" x14ac:dyDescent="0.25">
      <c r="A14" s="81"/>
      <c r="B14" s="72"/>
      <c r="C14" s="72"/>
      <c r="D14" s="72"/>
      <c r="E14" s="72"/>
      <c r="F14" s="72"/>
      <c r="G14" s="83"/>
      <c r="H14" s="72"/>
      <c r="I14" s="72"/>
      <c r="J14" s="72"/>
      <c r="K14" s="50"/>
      <c r="L14" s="50"/>
      <c r="M14" s="50"/>
      <c r="N14" s="50"/>
      <c r="O14" s="50"/>
      <c r="P14" s="48"/>
      <c r="Q14" s="48"/>
      <c r="R14" s="48"/>
      <c r="S14" s="48"/>
      <c r="T14" s="59"/>
      <c r="U14" s="59"/>
      <c r="V14" s="59"/>
      <c r="W14" s="59"/>
      <c r="X14" s="84"/>
      <c r="Y14" s="61"/>
      <c r="Z14" s="63"/>
      <c r="AA14" s="65"/>
      <c r="AB14" s="67"/>
      <c r="AC14" s="84"/>
      <c r="AD14" s="74"/>
      <c r="AE14" s="76"/>
      <c r="AF14" s="78"/>
      <c r="AG14" s="15"/>
    </row>
    <row r="15" spans="1:33" s="20" customFormat="1" ht="15" customHeight="1" x14ac:dyDescent="0.3">
      <c r="A15" s="16"/>
      <c r="B15" s="16"/>
      <c r="C15" s="16"/>
      <c r="D15" s="16"/>
      <c r="E15" s="16"/>
      <c r="F15" s="16"/>
      <c r="G15" s="17" t="s">
        <v>23</v>
      </c>
      <c r="H15" s="18">
        <f>+H16+H78+H87</f>
        <v>3548481992</v>
      </c>
      <c r="I15" s="18">
        <v>800000000</v>
      </c>
      <c r="J15" s="70">
        <f>+H15+I15</f>
        <v>4348481992</v>
      </c>
      <c r="K15" s="18">
        <f>+K16+K78</f>
        <v>12412725</v>
      </c>
      <c r="L15" s="18">
        <f>+L16+L78+L87</f>
        <v>33045336</v>
      </c>
      <c r="M15" s="18">
        <f>+M16+M78+M87</f>
        <v>1352618350</v>
      </c>
      <c r="N15" s="18">
        <f>+N16+N78+N87</f>
        <v>719879541</v>
      </c>
      <c r="O15" s="18">
        <f>+K15+L15+M15+N15</f>
        <v>2117955952</v>
      </c>
      <c r="P15" s="18">
        <f>+P16+P78</f>
        <v>36465295</v>
      </c>
      <c r="Q15" s="18">
        <f>+Q16+Q78+Q87</f>
        <v>40323382</v>
      </c>
      <c r="R15" s="18">
        <f>+R16+R78+R87</f>
        <v>24621384</v>
      </c>
      <c r="S15" s="18">
        <f>+S16+S78+S87</f>
        <v>14499385</v>
      </c>
      <c r="T15" s="18">
        <f>+T16+T78</f>
        <v>716504692</v>
      </c>
      <c r="U15" s="18">
        <f t="shared" ref="U15:W15" si="0">+U16+U78</f>
        <v>19006070</v>
      </c>
      <c r="V15" s="18">
        <f>+V16+V78</f>
        <v>26612349</v>
      </c>
      <c r="W15" s="18">
        <f t="shared" si="0"/>
        <v>1188630629</v>
      </c>
      <c r="X15" s="18">
        <v>1950753740</v>
      </c>
      <c r="Y15" s="18">
        <f>+Y16+Y78</f>
        <v>156611116</v>
      </c>
      <c r="Z15" s="18">
        <f>+Z16+Z78</f>
        <v>71754350</v>
      </c>
      <c r="AA15" s="18">
        <f>+AA16+AA78</f>
        <v>27586416</v>
      </c>
      <c r="AB15" s="18">
        <f>+AB16+AB78</f>
        <v>943925302</v>
      </c>
      <c r="AC15" s="18">
        <f>+X15+Y15+Z15+AA15+AB15</f>
        <v>3150630924</v>
      </c>
      <c r="AD15" s="55">
        <f>+AC15</f>
        <v>3150630924</v>
      </c>
      <c r="AE15" s="18">
        <f>+AD15</f>
        <v>3150630924</v>
      </c>
      <c r="AF15" s="19">
        <f t="shared" ref="AF15:AF46" si="1">+AC15*100/J15</f>
        <v>72.453581038079179</v>
      </c>
      <c r="AG15" s="15"/>
    </row>
    <row r="16" spans="1:33" s="20" customFormat="1" ht="15" customHeight="1" x14ac:dyDescent="0.3">
      <c r="A16" s="16">
        <v>100</v>
      </c>
      <c r="B16" s="16"/>
      <c r="C16" s="16"/>
      <c r="D16" s="16"/>
      <c r="E16" s="16"/>
      <c r="F16" s="16"/>
      <c r="G16" s="17" t="s">
        <v>24</v>
      </c>
      <c r="H16" s="18">
        <f>+H17+H39+H50+H59+H66</f>
        <v>1649263719</v>
      </c>
      <c r="I16" s="18">
        <v>625000000</v>
      </c>
      <c r="J16" s="18">
        <f>+H16+I16</f>
        <v>2274263719</v>
      </c>
      <c r="K16" s="18">
        <f>+K17+K39+K50+K59+K66</f>
        <v>12412725</v>
      </c>
      <c r="L16" s="18">
        <f>+L17+L39+L50+L59+L66</f>
        <v>33045336</v>
      </c>
      <c r="M16" s="18">
        <f>+M17+M39+M50+M59+M66</f>
        <v>477596149</v>
      </c>
      <c r="N16" s="18">
        <f>+N17+N39+N50+N59+N66</f>
        <v>155288695</v>
      </c>
      <c r="O16" s="18">
        <f t="shared" ref="O16:O68" si="2">+K16+L16+M16+N16</f>
        <v>678342905</v>
      </c>
      <c r="P16" s="18">
        <f>+P17+P39+P50+P59+P66</f>
        <v>36465295</v>
      </c>
      <c r="Q16" s="18">
        <f>+Q17+Q39+Q50+Q59+Q66</f>
        <v>40323382</v>
      </c>
      <c r="R16" s="18">
        <f>+R17+R39+R50+R59+R66</f>
        <v>24621384</v>
      </c>
      <c r="S16" s="18">
        <f>+S17+S39+S50+S59+S66</f>
        <v>14499385</v>
      </c>
      <c r="T16" s="18">
        <f>+T17+T39+T50+T59+T66</f>
        <v>431472341</v>
      </c>
      <c r="U16" s="18">
        <f t="shared" ref="U16:W16" si="3">+U17+U39+U50+U59+U66</f>
        <v>19006070</v>
      </c>
      <c r="V16" s="18">
        <f t="shared" si="3"/>
        <v>26612349</v>
      </c>
      <c r="W16" s="18">
        <f t="shared" si="3"/>
        <v>396597872</v>
      </c>
      <c r="X16" s="18">
        <v>873688632</v>
      </c>
      <c r="Y16" s="18">
        <f>+Y17+Y39+Y50+Y59+Y66</f>
        <v>156611116</v>
      </c>
      <c r="Z16" s="18">
        <f>+Z17+Z39+Z50+Z59+Z66</f>
        <v>23593739</v>
      </c>
      <c r="AA16" s="18">
        <f>+AA17+AA39+AA50+AA59+AA66</f>
        <v>27586416</v>
      </c>
      <c r="AB16" s="18">
        <f>+AB17+AB39+AB50+AB59+AB66</f>
        <v>488011153</v>
      </c>
      <c r="AC16" s="18">
        <f t="shared" ref="AC16:AC79" si="4">+X16+Y16+Z16+AA16+AB16</f>
        <v>1569491056</v>
      </c>
      <c r="AD16" s="55">
        <f t="shared" ref="AD16:AE79" si="5">+AC16</f>
        <v>1569491056</v>
      </c>
      <c r="AE16" s="18">
        <f t="shared" si="5"/>
        <v>1569491056</v>
      </c>
      <c r="AF16" s="19">
        <f t="shared" si="1"/>
        <v>69.010952550837402</v>
      </c>
      <c r="AG16" s="21"/>
    </row>
    <row r="17" spans="1:33" s="20" customFormat="1" ht="15" customHeight="1" x14ac:dyDescent="0.3">
      <c r="A17" s="16"/>
      <c r="B17" s="16">
        <v>110</v>
      </c>
      <c r="C17" s="16"/>
      <c r="D17" s="16"/>
      <c r="E17" s="16"/>
      <c r="F17" s="16"/>
      <c r="G17" s="17" t="s">
        <v>25</v>
      </c>
      <c r="H17" s="18">
        <f t="shared" ref="H17:M17" si="6">+H18+H26+H35</f>
        <v>324221929</v>
      </c>
      <c r="I17" s="18">
        <f t="shared" si="6"/>
        <v>0</v>
      </c>
      <c r="J17" s="18">
        <f t="shared" si="6"/>
        <v>324221929</v>
      </c>
      <c r="K17" s="18">
        <f t="shared" si="6"/>
        <v>6994025</v>
      </c>
      <c r="L17" s="18">
        <f t="shared" si="6"/>
        <v>29225356</v>
      </c>
      <c r="M17" s="18">
        <f t="shared" si="6"/>
        <v>16304276</v>
      </c>
      <c r="N17" s="18">
        <f>+N18+N26+N35</f>
        <v>42077600</v>
      </c>
      <c r="O17" s="18">
        <f t="shared" si="2"/>
        <v>94601257</v>
      </c>
      <c r="P17" s="18">
        <f t="shared" ref="P17:Q17" si="7">+P18+P26+P35</f>
        <v>16274827</v>
      </c>
      <c r="Q17" s="18">
        <f t="shared" si="7"/>
        <v>29369582</v>
      </c>
      <c r="R17" s="18">
        <f>+R18+R26+R35</f>
        <v>16958584</v>
      </c>
      <c r="S17" s="18">
        <f>+S18+S26+S35</f>
        <v>11665385</v>
      </c>
      <c r="T17" s="18">
        <f t="shared" ref="T17" si="8">+T18+T26+T35</f>
        <v>8130061</v>
      </c>
      <c r="U17" s="18">
        <f t="shared" ref="U17:W17" si="9">+U18+U26+U35</f>
        <v>13858870</v>
      </c>
      <c r="V17" s="18">
        <f t="shared" si="9"/>
        <v>22122149</v>
      </c>
      <c r="W17" s="18">
        <f t="shared" si="9"/>
        <v>46310213</v>
      </c>
      <c r="X17" s="18">
        <v>90421293</v>
      </c>
      <c r="Y17" s="18">
        <f>+Y18+Y26+Y35</f>
        <v>18347653</v>
      </c>
      <c r="Z17" s="18">
        <f>+Z18+Z26+Z35</f>
        <v>16887119</v>
      </c>
      <c r="AA17" s="18">
        <f>+AA18+AA26+AA35</f>
        <v>20014416</v>
      </c>
      <c r="AB17" s="18">
        <f>+AB18+AB26+AB35</f>
        <v>7962931</v>
      </c>
      <c r="AC17" s="18">
        <f t="shared" si="4"/>
        <v>153633412</v>
      </c>
      <c r="AD17" s="55">
        <f t="shared" si="5"/>
        <v>153633412</v>
      </c>
      <c r="AE17" s="18">
        <f t="shared" si="5"/>
        <v>153633412</v>
      </c>
      <c r="AF17" s="19">
        <f t="shared" si="1"/>
        <v>47.38526245706224</v>
      </c>
      <c r="AG17" s="15"/>
    </row>
    <row r="18" spans="1:33" s="20" customFormat="1" ht="15" customHeight="1" x14ac:dyDescent="0.3">
      <c r="A18" s="16"/>
      <c r="B18" s="16"/>
      <c r="C18" s="16">
        <v>112</v>
      </c>
      <c r="D18" s="16"/>
      <c r="E18" s="16"/>
      <c r="F18" s="16"/>
      <c r="G18" s="17" t="s">
        <v>26</v>
      </c>
      <c r="H18" s="18">
        <f t="shared" ref="H18:M18" si="10">SUM(H19:H25)</f>
        <v>217500000</v>
      </c>
      <c r="I18" s="18">
        <f t="shared" si="10"/>
        <v>0</v>
      </c>
      <c r="J18" s="18">
        <f t="shared" si="10"/>
        <v>217500000</v>
      </c>
      <c r="K18" s="18">
        <f t="shared" si="10"/>
        <v>4013825</v>
      </c>
      <c r="L18" s="18">
        <f t="shared" si="10"/>
        <v>26116451</v>
      </c>
      <c r="M18" s="18">
        <f t="shared" si="10"/>
        <v>12565763</v>
      </c>
      <c r="N18" s="18">
        <f>+N19+N20+N21+N22+N23+N24+N25</f>
        <v>31934158</v>
      </c>
      <c r="O18" s="18">
        <f t="shared" si="2"/>
        <v>74630197</v>
      </c>
      <c r="P18" s="18">
        <f t="shared" ref="P18:Q18" si="11">SUM(P19:P25)</f>
        <v>7704578</v>
      </c>
      <c r="Q18" s="18">
        <f t="shared" si="11"/>
        <v>24096069</v>
      </c>
      <c r="R18" s="18">
        <f>+R19+R20+R21+R22+R23+R24+R25</f>
        <v>13159084</v>
      </c>
      <c r="S18" s="18">
        <f>+S19+S20+S21+S22+S23+S24+S25</f>
        <v>6384616</v>
      </c>
      <c r="T18" s="18">
        <f t="shared" ref="T18" si="12">SUM(T19:T25)</f>
        <v>4864080</v>
      </c>
      <c r="U18" s="18">
        <f t="shared" ref="U18:W18" si="13">SUM(U19:U25)</f>
        <v>10553941</v>
      </c>
      <c r="V18" s="18">
        <f t="shared" si="13"/>
        <v>15143884</v>
      </c>
      <c r="W18" s="18">
        <f t="shared" si="13"/>
        <v>42074727</v>
      </c>
      <c r="X18" s="18">
        <v>72636632</v>
      </c>
      <c r="Y18" s="18">
        <f>+Y19+Y20+Y21+Y22+Y23+Y24+Y25</f>
        <v>13376441</v>
      </c>
      <c r="Z18" s="18">
        <f>+Z19+Z20+Z21+Z22+Z23+Z24+Z25</f>
        <v>11463300</v>
      </c>
      <c r="AA18" s="18">
        <f>+AA19+AA20+AA21+AA22+AA23+AA24+AA25</f>
        <v>15945417</v>
      </c>
      <c r="AB18" s="18">
        <f>+AB19+AB20+AB21+AB22+AB23+AB24+AB25</f>
        <v>4747974</v>
      </c>
      <c r="AC18" s="18">
        <f t="shared" si="4"/>
        <v>118169764</v>
      </c>
      <c r="AD18" s="55">
        <f t="shared" si="5"/>
        <v>118169764</v>
      </c>
      <c r="AE18" s="18">
        <f t="shared" si="5"/>
        <v>118169764</v>
      </c>
      <c r="AF18" s="19">
        <f t="shared" si="1"/>
        <v>54.330925977011496</v>
      </c>
      <c r="AG18" s="15"/>
    </row>
    <row r="19" spans="1:33" ht="15" customHeight="1" x14ac:dyDescent="0.25">
      <c r="A19" s="16"/>
      <c r="B19" s="22"/>
      <c r="C19" s="22">
        <v>112</v>
      </c>
      <c r="D19" s="22" t="s">
        <v>27</v>
      </c>
      <c r="E19" s="22">
        <v>30</v>
      </c>
      <c r="F19" s="22" t="s">
        <v>27</v>
      </c>
      <c r="G19" s="23" t="s">
        <v>28</v>
      </c>
      <c r="H19" s="24">
        <v>155000000</v>
      </c>
      <c r="I19" s="24">
        <v>0</v>
      </c>
      <c r="J19" s="24">
        <f>+H19+I19</f>
        <v>155000000</v>
      </c>
      <c r="K19" s="24">
        <f>17000+1348400+133704+239735+322290+17212+49202+88470+612323+129839+51846+596223+87645+122040+147896</f>
        <v>3963825</v>
      </c>
      <c r="L19" s="24">
        <f>197202+914402+5607982+903207+477671+55535+121451+553988+2848521+10953297+24000+933537+1291829+398910+207331+627588</f>
        <v>26116451</v>
      </c>
      <c r="M19" s="25">
        <f>1960038+576253+460978+283925+438517+1163827+50238+268605+498011+121356+1368087+438228+341524+249957+73345+797066+1035808</f>
        <v>10125763</v>
      </c>
      <c r="N19" s="25">
        <f>438322+239360+223495+1205623+608723+25356393+36000+935556+41129+109557</f>
        <v>29194158</v>
      </c>
      <c r="O19" s="24">
        <f>+K19+L19+M19+N19</f>
        <v>69400197</v>
      </c>
      <c r="P19" s="24">
        <v>5454578</v>
      </c>
      <c r="Q19" s="25">
        <f>686557+101725+208000+240425+1785393+213081+340926+799957+83700+775247+273800+1180158+17100</f>
        <v>6706069</v>
      </c>
      <c r="R19" s="25">
        <f>2094527+174323+19761+253240+133839+314100+647250+313897+1931011+22292+117940+157342+170188+236874</f>
        <v>6586584</v>
      </c>
      <c r="S19" s="25">
        <f>537638+926910+116679+366918+51200+473695+399929+71979+48760+318826+992082</f>
        <v>4304616</v>
      </c>
      <c r="T19" s="24">
        <f>175291+17732+599141+405858+825670+77684+687419+97848+469426+209046+101774+127209+418456+333000+136106+128020+54400</f>
        <v>4864080</v>
      </c>
      <c r="U19" s="24">
        <f>222149+120213+513946+309255+586189+180968+1147679+426089+39678+532790+263905+105892+3664236+275918+181552+623482</f>
        <v>9193941</v>
      </c>
      <c r="V19" s="24">
        <f>1864824+488787+229850+464708+575030+313386+517419+145892+319256+135173+276794+1046304+1596558+5357021+586108+106774</f>
        <v>14023884</v>
      </c>
      <c r="W19" s="24">
        <f>5597127+2012020+933707+82376+90784+1090035+671056+857625+26598852+823939+231064+33588+365176+137378</f>
        <v>39524727</v>
      </c>
      <c r="X19" s="24">
        <v>67606632</v>
      </c>
      <c r="Y19" s="24">
        <f>1358846+277424+1391391+183880+1725811+121974+738955+959711+574615+586201+1335816+224482+154181+1112610+255544</f>
        <v>11001441</v>
      </c>
      <c r="Z19" s="24">
        <f>557662+91934+607973+320482+321393+635404+30646+277806</f>
        <v>2843300</v>
      </c>
      <c r="AA19" s="24">
        <f>1194435+359267+1248311+616968+59555+862421+58256+977398+468806</f>
        <v>5845417</v>
      </c>
      <c r="AB19" s="24">
        <f>1891773+194223+17868+422694+629661+276561+41536+73658</f>
        <v>3547974</v>
      </c>
      <c r="AC19" s="24">
        <f t="shared" si="4"/>
        <v>90844764</v>
      </c>
      <c r="AD19" s="56">
        <f t="shared" si="5"/>
        <v>90844764</v>
      </c>
      <c r="AE19" s="24">
        <f t="shared" si="5"/>
        <v>90844764</v>
      </c>
      <c r="AF19" s="26">
        <f t="shared" si="1"/>
        <v>58.609525161290321</v>
      </c>
    </row>
    <row r="20" spans="1:33" ht="15" customHeight="1" x14ac:dyDescent="0.25">
      <c r="A20" s="16"/>
      <c r="B20" s="22"/>
      <c r="C20" s="22">
        <v>112</v>
      </c>
      <c r="D20" s="22" t="s">
        <v>29</v>
      </c>
      <c r="E20" s="22">
        <v>30</v>
      </c>
      <c r="F20" s="22" t="s">
        <v>27</v>
      </c>
      <c r="G20" s="23" t="s">
        <v>30</v>
      </c>
      <c r="H20" s="24">
        <v>2000000</v>
      </c>
      <c r="I20" s="24">
        <v>0</v>
      </c>
      <c r="J20" s="24">
        <f>+H20+I20</f>
        <v>2000000</v>
      </c>
      <c r="K20" s="24"/>
      <c r="L20" s="24"/>
      <c r="M20" s="24"/>
      <c r="N20" s="24"/>
      <c r="O20" s="24">
        <f t="shared" si="2"/>
        <v>0</v>
      </c>
      <c r="P20" s="24"/>
      <c r="Q20" s="24"/>
      <c r="R20" s="24"/>
      <c r="S20" s="24"/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/>
      <c r="AA20" s="24"/>
      <c r="AB20" s="24"/>
      <c r="AC20" s="24">
        <f t="shared" si="4"/>
        <v>0</v>
      </c>
      <c r="AD20" s="56">
        <f t="shared" si="5"/>
        <v>0</v>
      </c>
      <c r="AE20" s="24">
        <f t="shared" si="5"/>
        <v>0</v>
      </c>
      <c r="AF20" s="26">
        <f t="shared" si="1"/>
        <v>0</v>
      </c>
    </row>
    <row r="21" spans="1:33" ht="15" customHeight="1" x14ac:dyDescent="0.25">
      <c r="A21" s="16"/>
      <c r="B21" s="22"/>
      <c r="C21" s="22">
        <v>112</v>
      </c>
      <c r="D21" s="22" t="s">
        <v>31</v>
      </c>
      <c r="E21" s="22">
        <v>30</v>
      </c>
      <c r="F21" s="22" t="s">
        <v>27</v>
      </c>
      <c r="G21" s="23" t="s">
        <v>32</v>
      </c>
      <c r="H21" s="24">
        <v>45000000</v>
      </c>
      <c r="I21" s="24">
        <v>0</v>
      </c>
      <c r="J21" s="24">
        <f>+H21+I21</f>
        <v>45000000</v>
      </c>
      <c r="K21" s="24">
        <v>50000</v>
      </c>
      <c r="L21" s="24"/>
      <c r="M21" s="24">
        <f>110000+240000+50000+90000+90000+30000+50000+280000+50000+90000+260000+300000+60000+10000+10000+100000+20000+60000+10000+230000</f>
        <v>2140000</v>
      </c>
      <c r="N21" s="24">
        <f>400000+160000+60000+180000+20000+180000+10000+110000+10000+110000+50000+190000+530000+110000+100000+440000+80000</f>
        <v>2740000</v>
      </c>
      <c r="O21" s="24">
        <f t="shared" si="2"/>
        <v>4930000</v>
      </c>
      <c r="P21" s="24">
        <v>2250000</v>
      </c>
      <c r="Q21" s="24">
        <f>150000+1010000+160000+190000+50000+420000+860000+120000+380000+170000+120000+350000+770000+780000+780000+560000+220000+510000+1310000+410000+250000+970000+4440000+2410000</f>
        <v>17390000</v>
      </c>
      <c r="R21" s="24">
        <f>1530000+810000+800000+360000+230000+140000+270000+280000+190000+210000+180000+320000+180000+180000+60000+10000+330000+180000+10000+20000+170000+70000</f>
        <v>6530000</v>
      </c>
      <c r="S21" s="24">
        <f>480000+330000+160000+160000+10000+10000+10000+460000+130000+50000+80000+100000+50000+50000</f>
        <v>2080000</v>
      </c>
      <c r="T21" s="24">
        <v>0</v>
      </c>
      <c r="U21" s="24">
        <f>110000+50000+270000+360000+110000+110000+250000+100000</f>
        <v>1360000</v>
      </c>
      <c r="V21" s="24">
        <f>50000+110000+50000+60000+60000+50000+170000+10000+120000+90000+110000+90000+60000+90000</f>
        <v>1120000</v>
      </c>
      <c r="W21" s="24">
        <f>210000+210000+20000+60000+90000+170000+10000+240000+540000+140000+20000+130000+20000+10000+180000+50000+60000+20000+200000+170000</f>
        <v>2550000</v>
      </c>
      <c r="X21" s="24">
        <v>5030000</v>
      </c>
      <c r="Y21" s="24">
        <f>170000+90000+10000+400000+100000+50000+10000+180000+265000+70000+230000+50000+110000+10000+120000+110000+320000+80000</f>
        <v>2375000</v>
      </c>
      <c r="Z21" s="24">
        <f>360000+260000+170000+10000+160000+60000+50000+1330000+270000+150000+120000+440000+170000+470000+930000+50000+230000+640000+900000+1850000</f>
        <v>8620000</v>
      </c>
      <c r="AA21" s="24">
        <f>4520000+370000+70000+490000+530000+440000+320000+780000+280000+80000+300000+350000+110000+340000+80000+350000+150000+70000+10000+20000+10000+160000+20000+180000+70000</f>
        <v>10100000</v>
      </c>
      <c r="AB21" s="24">
        <f>60000+210000+90000+120000+80000+120000+60000+10000+20000+10000+50000+90000+160000+50000+60000+10000</f>
        <v>1200000</v>
      </c>
      <c r="AC21" s="24">
        <f t="shared" si="4"/>
        <v>27325000</v>
      </c>
      <c r="AD21" s="56">
        <f t="shared" si="5"/>
        <v>27325000</v>
      </c>
      <c r="AE21" s="24">
        <f t="shared" si="5"/>
        <v>27325000</v>
      </c>
      <c r="AF21" s="26">
        <f t="shared" si="1"/>
        <v>60.722222222222221</v>
      </c>
    </row>
    <row r="22" spans="1:33" ht="15" customHeight="1" x14ac:dyDescent="0.25">
      <c r="A22" s="16"/>
      <c r="B22" s="22"/>
      <c r="C22" s="22">
        <v>112</v>
      </c>
      <c r="D22" s="22" t="s">
        <v>33</v>
      </c>
      <c r="E22" s="22">
        <v>30</v>
      </c>
      <c r="F22" s="22" t="s">
        <v>27</v>
      </c>
      <c r="G22" s="23" t="s">
        <v>34</v>
      </c>
      <c r="H22" s="24">
        <v>10000000</v>
      </c>
      <c r="I22" s="24">
        <v>0</v>
      </c>
      <c r="J22" s="24">
        <f>+H22+I22</f>
        <v>10000000</v>
      </c>
      <c r="K22" s="24"/>
      <c r="L22" s="24"/>
      <c r="M22" s="24"/>
      <c r="N22" s="24"/>
      <c r="O22" s="24">
        <f t="shared" si="2"/>
        <v>0</v>
      </c>
      <c r="P22" s="24"/>
      <c r="Q22" s="24"/>
      <c r="R22" s="24">
        <v>42500</v>
      </c>
      <c r="S22" s="24"/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/>
      <c r="AA22" s="24"/>
      <c r="AB22" s="24"/>
      <c r="AC22" s="24">
        <f t="shared" si="4"/>
        <v>0</v>
      </c>
      <c r="AD22" s="56">
        <f t="shared" si="5"/>
        <v>0</v>
      </c>
      <c r="AE22" s="24">
        <f t="shared" si="5"/>
        <v>0</v>
      </c>
      <c r="AF22" s="26">
        <f t="shared" si="1"/>
        <v>0</v>
      </c>
    </row>
    <row r="23" spans="1:33" ht="15" customHeight="1" x14ac:dyDescent="0.25">
      <c r="A23" s="16"/>
      <c r="B23" s="22"/>
      <c r="C23" s="22">
        <v>112</v>
      </c>
      <c r="D23" s="22" t="s">
        <v>35</v>
      </c>
      <c r="E23" s="22">
        <v>30</v>
      </c>
      <c r="F23" s="22" t="s">
        <v>27</v>
      </c>
      <c r="G23" s="23" t="s">
        <v>36</v>
      </c>
      <c r="H23" s="24">
        <v>1000000</v>
      </c>
      <c r="I23" s="24">
        <v>0</v>
      </c>
      <c r="J23" s="24">
        <v>1000000</v>
      </c>
      <c r="K23" s="24"/>
      <c r="L23" s="24"/>
      <c r="M23" s="24"/>
      <c r="N23" s="24"/>
      <c r="O23" s="24">
        <f t="shared" si="2"/>
        <v>0</v>
      </c>
      <c r="P23" s="24"/>
      <c r="Q23" s="24"/>
      <c r="R23" s="24"/>
      <c r="S23" s="24"/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/>
      <c r="AA23" s="24"/>
      <c r="AB23" s="24"/>
      <c r="AC23" s="24">
        <f t="shared" si="4"/>
        <v>0</v>
      </c>
      <c r="AD23" s="56">
        <f t="shared" si="5"/>
        <v>0</v>
      </c>
      <c r="AE23" s="24">
        <f t="shared" si="5"/>
        <v>0</v>
      </c>
      <c r="AF23" s="26">
        <f t="shared" si="1"/>
        <v>0</v>
      </c>
    </row>
    <row r="24" spans="1:33" ht="15" customHeight="1" x14ac:dyDescent="0.25">
      <c r="A24" s="16"/>
      <c r="B24" s="22"/>
      <c r="C24" s="22">
        <v>112</v>
      </c>
      <c r="D24" s="22" t="s">
        <v>37</v>
      </c>
      <c r="E24" s="22">
        <v>30</v>
      </c>
      <c r="F24" s="22" t="s">
        <v>27</v>
      </c>
      <c r="G24" s="23" t="s">
        <v>38</v>
      </c>
      <c r="H24" s="24">
        <v>3000000</v>
      </c>
      <c r="I24" s="24">
        <v>0</v>
      </c>
      <c r="J24" s="24">
        <f>+H24+I24</f>
        <v>3000000</v>
      </c>
      <c r="K24" s="24"/>
      <c r="L24" s="24"/>
      <c r="M24" s="24">
        <v>300000</v>
      </c>
      <c r="N24" s="24"/>
      <c r="O24" s="24">
        <f>+K24+L24+M24+N24</f>
        <v>300000</v>
      </c>
      <c r="P24" s="24"/>
      <c r="Q24" s="24"/>
      <c r="R24" s="24"/>
      <c r="S24" s="24"/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/>
      <c r="AA24" s="24"/>
      <c r="AB24" s="24"/>
      <c r="AC24" s="24">
        <f t="shared" si="4"/>
        <v>0</v>
      </c>
      <c r="AD24" s="56">
        <f t="shared" si="5"/>
        <v>0</v>
      </c>
      <c r="AE24" s="24">
        <f t="shared" si="5"/>
        <v>0</v>
      </c>
      <c r="AF24" s="26">
        <f t="shared" si="1"/>
        <v>0</v>
      </c>
    </row>
    <row r="25" spans="1:33" ht="15" customHeight="1" x14ac:dyDescent="0.25">
      <c r="A25" s="16"/>
      <c r="B25" s="22"/>
      <c r="C25" s="22">
        <v>112</v>
      </c>
      <c r="D25" s="22" t="s">
        <v>39</v>
      </c>
      <c r="E25" s="22">
        <v>30</v>
      </c>
      <c r="F25" s="22" t="s">
        <v>27</v>
      </c>
      <c r="G25" s="23" t="s">
        <v>40</v>
      </c>
      <c r="H25" s="24">
        <v>1500000</v>
      </c>
      <c r="I25" s="24">
        <v>0</v>
      </c>
      <c r="J25" s="24">
        <f>+H25+I25</f>
        <v>1500000</v>
      </c>
      <c r="K25" s="24"/>
      <c r="L25" s="24"/>
      <c r="M25" s="24"/>
      <c r="N25" s="24"/>
      <c r="O25" s="24">
        <f t="shared" si="2"/>
        <v>0</v>
      </c>
      <c r="P25" s="24"/>
      <c r="Q25" s="24"/>
      <c r="R25" s="24"/>
      <c r="S25" s="24"/>
      <c r="T25" s="24"/>
      <c r="U25" s="24"/>
      <c r="V25" s="24"/>
      <c r="W25" s="24"/>
      <c r="X25" s="24">
        <v>0</v>
      </c>
      <c r="Y25" s="24">
        <v>0</v>
      </c>
      <c r="Z25" s="24"/>
      <c r="AA25" s="24"/>
      <c r="AB25" s="24"/>
      <c r="AC25" s="24">
        <f t="shared" si="4"/>
        <v>0</v>
      </c>
      <c r="AD25" s="56">
        <f t="shared" si="5"/>
        <v>0</v>
      </c>
      <c r="AE25" s="24">
        <f t="shared" si="5"/>
        <v>0</v>
      </c>
      <c r="AF25" s="26">
        <f t="shared" si="1"/>
        <v>0</v>
      </c>
    </row>
    <row r="26" spans="1:33" s="20" customFormat="1" ht="15" customHeight="1" x14ac:dyDescent="0.3">
      <c r="A26" s="16"/>
      <c r="B26" s="16"/>
      <c r="C26" s="16">
        <v>113</v>
      </c>
      <c r="D26" s="16"/>
      <c r="E26" s="16"/>
      <c r="F26" s="16"/>
      <c r="G26" s="17" t="s">
        <v>41</v>
      </c>
      <c r="H26" s="18">
        <f t="shared" ref="H26:M26" si="14">SUM(H27:H34)</f>
        <v>85221929</v>
      </c>
      <c r="I26" s="18">
        <f t="shared" si="14"/>
        <v>0</v>
      </c>
      <c r="J26" s="18">
        <f t="shared" si="14"/>
        <v>85221929</v>
      </c>
      <c r="K26" s="18">
        <f t="shared" si="14"/>
        <v>2975200</v>
      </c>
      <c r="L26" s="18">
        <f t="shared" si="14"/>
        <v>3022100</v>
      </c>
      <c r="M26" s="18">
        <f t="shared" si="14"/>
        <v>3482436</v>
      </c>
      <c r="N26" s="18">
        <f>+N27+N28+N29+N30+N31+N32+N33+N34</f>
        <v>9632976</v>
      </c>
      <c r="O26" s="18">
        <f>+K26+L26+M26+N26</f>
        <v>19112712</v>
      </c>
      <c r="P26" s="18">
        <f t="shared" ref="P26:Q26" si="15">SUM(P27:P34)</f>
        <v>8253750</v>
      </c>
      <c r="Q26" s="18">
        <f t="shared" si="15"/>
        <v>3410500</v>
      </c>
      <c r="R26" s="18">
        <f>SUM(R27:R34)</f>
        <v>3146500</v>
      </c>
      <c r="S26" s="18">
        <f>+S27+S28+S29+S30+S31+S32+S33+S34</f>
        <v>5058870</v>
      </c>
      <c r="T26" s="18">
        <f t="shared" ref="T26" si="16">SUM(T27:T34)</f>
        <v>3131000</v>
      </c>
      <c r="U26" s="18">
        <f t="shared" ref="U26:W26" si="17">SUM(U27:U34)</f>
        <v>3168929</v>
      </c>
      <c r="V26" s="18">
        <f t="shared" si="17"/>
        <v>6775040</v>
      </c>
      <c r="W26" s="18">
        <f t="shared" si="17"/>
        <v>3976000</v>
      </c>
      <c r="X26" s="18">
        <v>17050969</v>
      </c>
      <c r="Y26" s="18">
        <f>+Y27+Y28+Y29+Y30+Y31+Y32+Y33+Y34</f>
        <v>4385509</v>
      </c>
      <c r="Z26" s="18">
        <f>+Z27+Z28+Z29+Z30+Z31+Z32+Z33+Z34</f>
        <v>4492770</v>
      </c>
      <c r="AA26" s="18">
        <f>+AA27+AA28+AA29+AA30+AA31+AA32+AA33+AA34</f>
        <v>2936500</v>
      </c>
      <c r="AB26" s="18">
        <f>+AB27+AB28+AB29+AB30+AB31+AB32+AB33+AB34</f>
        <v>3008900</v>
      </c>
      <c r="AC26" s="18">
        <f t="shared" si="4"/>
        <v>31874648</v>
      </c>
      <c r="AD26" s="55">
        <f t="shared" si="5"/>
        <v>31874648</v>
      </c>
      <c r="AE26" s="18">
        <f t="shared" si="5"/>
        <v>31874648</v>
      </c>
      <c r="AF26" s="19">
        <f t="shared" si="1"/>
        <v>37.401932077834097</v>
      </c>
      <c r="AG26" s="21"/>
    </row>
    <row r="27" spans="1:33" ht="15" customHeight="1" x14ac:dyDescent="0.25">
      <c r="A27" s="22"/>
      <c r="B27" s="22"/>
      <c r="C27" s="22">
        <v>113</v>
      </c>
      <c r="D27" s="22" t="s">
        <v>35</v>
      </c>
      <c r="E27" s="22">
        <v>30</v>
      </c>
      <c r="F27" s="22" t="s">
        <v>27</v>
      </c>
      <c r="G27" s="23" t="s">
        <v>42</v>
      </c>
      <c r="H27" s="24">
        <v>1500000</v>
      </c>
      <c r="I27" s="24">
        <v>0</v>
      </c>
      <c r="J27" s="24">
        <f t="shared" ref="J27:J34" si="18">+H27+I27</f>
        <v>1500000</v>
      </c>
      <c r="K27" s="24"/>
      <c r="L27" s="24"/>
      <c r="M27" s="24"/>
      <c r="N27" s="24"/>
      <c r="O27" s="24">
        <f t="shared" si="2"/>
        <v>0</v>
      </c>
      <c r="P27" s="24"/>
      <c r="Q27" s="24"/>
      <c r="R27" s="24"/>
      <c r="S27" s="24"/>
      <c r="T27" s="24">
        <v>0</v>
      </c>
      <c r="U27" s="24">
        <v>0</v>
      </c>
      <c r="V27" s="24">
        <v>0</v>
      </c>
      <c r="W27" s="24">
        <v>172500</v>
      </c>
      <c r="X27" s="24">
        <v>172500</v>
      </c>
      <c r="Y27" s="24">
        <v>0</v>
      </c>
      <c r="Z27" s="24"/>
      <c r="AA27" s="24"/>
      <c r="AB27" s="24">
        <v>285000</v>
      </c>
      <c r="AC27" s="24">
        <f t="shared" si="4"/>
        <v>457500</v>
      </c>
      <c r="AD27" s="56">
        <f t="shared" si="5"/>
        <v>457500</v>
      </c>
      <c r="AE27" s="24">
        <f t="shared" si="5"/>
        <v>457500</v>
      </c>
      <c r="AF27" s="26">
        <f t="shared" si="1"/>
        <v>30.5</v>
      </c>
    </row>
    <row r="28" spans="1:33" ht="15" customHeight="1" x14ac:dyDescent="0.25">
      <c r="A28" s="22"/>
      <c r="B28" s="22"/>
      <c r="C28" s="22">
        <v>113</v>
      </c>
      <c r="D28" s="22" t="s">
        <v>43</v>
      </c>
      <c r="E28" s="22">
        <v>30</v>
      </c>
      <c r="F28" s="22" t="s">
        <v>27</v>
      </c>
      <c r="G28" s="23" t="s">
        <v>44</v>
      </c>
      <c r="H28" s="24">
        <v>35000000</v>
      </c>
      <c r="I28" s="24">
        <v>0</v>
      </c>
      <c r="J28" s="24">
        <f t="shared" si="18"/>
        <v>35000000</v>
      </c>
      <c r="K28" s="24">
        <f>23500+43400+75650+5000+15000+5000+11000+96300+32500+17000+38500+5000+5000+5000+17000+5000+20000+82500+28500+5000</f>
        <v>535850</v>
      </c>
      <c r="L28" s="24">
        <f>13500+5000+16000+124515+22500+55000+5000+18400+320375+25400+8500+5000+21100+18400+30500</f>
        <v>689190</v>
      </c>
      <c r="M28" s="24">
        <f>33400+10000+9000+7000+34000+139400+69300+86500+17000+5000+3500+15000+10000+13500+155836+35000+22000+35500+22000+18500+34000</f>
        <v>775436</v>
      </c>
      <c r="N28" s="24">
        <f>160800+25000+22000+327000+125000+26550+10000+5237639+20000+308854+18400+10000+5000+128600+50000+10000</f>
        <v>6484843</v>
      </c>
      <c r="O28" s="24">
        <f t="shared" si="2"/>
        <v>8485319</v>
      </c>
      <c r="P28" s="24">
        <v>5267907</v>
      </c>
      <c r="Q28" s="24">
        <f>20000+10000+5000+27500+15000+15000+64300+20000+20000+20000+72500+2500+18400+96300</f>
        <v>406500</v>
      </c>
      <c r="R28" s="24">
        <f>15000+5000+10000+2500+5000+5000+7500+218000+15000+107000+18400+23400+20000+10000+5000</f>
        <v>466800</v>
      </c>
      <c r="S28" s="24">
        <f>64300+36800+18400+112280+214230+45000+147280+2500+64300+1849770</f>
        <v>2554860</v>
      </c>
      <c r="T28" s="24">
        <f>7500+82500+75000+118700+15000+35000+48400+55000+201100+20000+15000+2500+35000+60000+10000+10000+5000+80500</f>
        <v>876200</v>
      </c>
      <c r="U28" s="24">
        <f>554629+53400+7500+60200+15000+15000+194670+45000+10000+50000+5000+60000</f>
        <v>1070399</v>
      </c>
      <c r="V28" s="24">
        <f>4321690+2500+10000+10000+45000+89965+45900+67500+10000+37500+5000+2500+5000+10000+96500+5000+10000</f>
        <v>4774055</v>
      </c>
      <c r="W28" s="24">
        <f>47500+75900+2500+99000+22500+60000+89000+12500+22500+55000+10000+40000+30000+73400+18400+18400+18400+5000+128600+5000</f>
        <v>833600</v>
      </c>
      <c r="X28" s="24">
        <v>7554254</v>
      </c>
      <c r="Y28" s="24">
        <f>54500+2500+5000+25000+28400+64300+5000+87500+5000+7500+59000+305860+1446699+32500+91800</f>
        <v>2220559</v>
      </c>
      <c r="Z28" s="24">
        <f>1849770+2500+35000+43400+104300+10000+2500+2500+5000+7500</f>
        <v>2062470</v>
      </c>
      <c r="AA28" s="24">
        <f>52500+55000+5000+2500+35000+64300+5000+45000+10000+12500+35000+195000+2500</f>
        <v>519300</v>
      </c>
      <c r="AB28" s="24">
        <f>36800+18400+10000+126500+5000+18400+490200+5000+25000</f>
        <v>735300</v>
      </c>
      <c r="AC28" s="24">
        <f t="shared" si="4"/>
        <v>13091883</v>
      </c>
      <c r="AD28" s="56">
        <f t="shared" si="5"/>
        <v>13091883</v>
      </c>
      <c r="AE28" s="24">
        <f t="shared" si="5"/>
        <v>13091883</v>
      </c>
      <c r="AF28" s="26">
        <f t="shared" si="1"/>
        <v>37.405380000000001</v>
      </c>
    </row>
    <row r="29" spans="1:33" ht="15" customHeight="1" x14ac:dyDescent="0.25">
      <c r="A29" s="22"/>
      <c r="B29" s="22"/>
      <c r="C29" s="22">
        <v>113</v>
      </c>
      <c r="D29" s="22" t="s">
        <v>45</v>
      </c>
      <c r="E29" s="22">
        <v>30</v>
      </c>
      <c r="F29" s="22" t="s">
        <v>27</v>
      </c>
      <c r="G29" s="23" t="s">
        <v>46</v>
      </c>
      <c r="H29" s="24">
        <v>5000000</v>
      </c>
      <c r="I29" s="24">
        <v>0</v>
      </c>
      <c r="J29" s="24">
        <f t="shared" si="18"/>
        <v>5000000</v>
      </c>
      <c r="K29" s="24">
        <f>5100+9850+2600</f>
        <v>17550</v>
      </c>
      <c r="L29" s="24">
        <f>16335+7500+5100+50875+5100+5400+5100</f>
        <v>95410</v>
      </c>
      <c r="M29" s="24">
        <f>5100+20100+10200+11500+55100</f>
        <v>102000</v>
      </c>
      <c r="N29" s="24">
        <f>10200+50000+5450+250000+36483+5100+20400</f>
        <v>377633</v>
      </c>
      <c r="O29" s="24">
        <f t="shared" si="2"/>
        <v>592593</v>
      </c>
      <c r="P29" s="24">
        <v>726343</v>
      </c>
      <c r="Q29" s="24">
        <f>10200+5100+13200</f>
        <v>28500</v>
      </c>
      <c r="R29" s="24">
        <f>5100+5100</f>
        <v>10200</v>
      </c>
      <c r="S29" s="24">
        <f>10200+10200+5100+14420+22970+14420+10200+200000</f>
        <v>287510</v>
      </c>
      <c r="T29" s="24">
        <f>14300+5100+20400</f>
        <v>39800</v>
      </c>
      <c r="U29" s="24">
        <f>50000+5100+15300+21630</f>
        <v>92030</v>
      </c>
      <c r="V29" s="24">
        <f>150000+11385+5100</f>
        <v>166485</v>
      </c>
      <c r="W29" s="24">
        <f>5100+5100+5100+5100+5100+20400</f>
        <v>45900</v>
      </c>
      <c r="X29" s="24">
        <v>344215</v>
      </c>
      <c r="Y29" s="24">
        <f>5100+10200+37040+162410+10200</f>
        <v>224950</v>
      </c>
      <c r="Z29" s="24">
        <f>200000+5100+10200</f>
        <v>215300</v>
      </c>
      <c r="AA29" s="24">
        <f>10200+50000</f>
        <v>60200</v>
      </c>
      <c r="AB29" s="24">
        <f>10200+5100+5100+25000</f>
        <v>45400</v>
      </c>
      <c r="AC29" s="24">
        <f t="shared" si="4"/>
        <v>890065</v>
      </c>
      <c r="AD29" s="56">
        <f t="shared" si="5"/>
        <v>890065</v>
      </c>
      <c r="AE29" s="24">
        <f t="shared" si="5"/>
        <v>890065</v>
      </c>
      <c r="AF29" s="26">
        <f t="shared" si="1"/>
        <v>17.801300000000001</v>
      </c>
    </row>
    <row r="30" spans="1:33" ht="15" customHeight="1" x14ac:dyDescent="0.25">
      <c r="A30" s="22"/>
      <c r="B30" s="22"/>
      <c r="C30" s="22">
        <v>113</v>
      </c>
      <c r="D30" s="22" t="s">
        <v>47</v>
      </c>
      <c r="E30" s="22">
        <v>30</v>
      </c>
      <c r="F30" s="22" t="s">
        <v>27</v>
      </c>
      <c r="G30" s="23" t="s">
        <v>48</v>
      </c>
      <c r="H30" s="24">
        <v>29721929</v>
      </c>
      <c r="I30" s="24">
        <v>0</v>
      </c>
      <c r="J30" s="24">
        <f t="shared" si="18"/>
        <v>29721929</v>
      </c>
      <c r="K30" s="24">
        <f>133000+74000+84000+74000+74000+74000+114000+74000+74000+74000+74000+74000+108000+68000+74000+74000+74000+74000+108000+74000+74000+65000+59000+74000+114000+74000</f>
        <v>2111000</v>
      </c>
      <c r="L30" s="24">
        <f>61000+74000+74000+74000+114000+74000+74000+74000+65000+65000+114000+74000+74000+74000+74000+74000+114000+74000+74000+74000+74000+74000+208000</f>
        <v>1925000</v>
      </c>
      <c r="M30" s="24">
        <f>74000+74000+70000+74000+101000+74000+74000+74000+74000+74000+114000+74000+74000+74000+55000+74000+114000+74000+74000+74000+74000+74000+108000+74000+74000+74000+74000</f>
        <v>2116000</v>
      </c>
      <c r="N30" s="24">
        <f>74000+114000+74000+74000+55000+74000+74000+114000+74000+268000+74000+74000+68000+57000+74000+114000+574000+74000+74000+74000+74000</f>
        <v>2326000</v>
      </c>
      <c r="O30" s="24">
        <f t="shared" si="2"/>
        <v>8478000</v>
      </c>
      <c r="P30" s="24">
        <v>1949000</v>
      </c>
      <c r="Q30" s="24">
        <f>61000+65000+74000+119000+74000+64000+74000+65000+74000+183000+74000+74000+68000+74000+108000+74000+162000+74000+74000+114000+74000+74000+74000+74000</f>
        <v>2045000</v>
      </c>
      <c r="R30" s="24">
        <f>188000+68000+74000+61000+74000+74000+114000+74000+74000+61000+74000+74000+114000+61000+74000+74000+74000+74000+114000+74000+74000+74000+74000+74000+108000</f>
        <v>2073000</v>
      </c>
      <c r="S30" s="24">
        <f>74000+74000+74000+61000+74000+108000+74000+68000+68000+74000+68000+108000+134000+68000+68000+68000+114000+68000+68000+68000+58000+55000+108000+68000+120000</f>
        <v>1990000</v>
      </c>
      <c r="T30" s="24">
        <f>78000+68000+68000+68000+68000+108000+58000+68000+55000+68000+52000+88000+68000+68000+68000+58000+58000+98000+51000+68000+58000+68000+68000+108000+68000+68000</f>
        <v>1822000</v>
      </c>
      <c r="U30" s="24">
        <f>68000+68000+176000+68000+68000+58000+55000+68000+98000+62000+68000+58000+55000+68000+88000+43000+68000+52000+68000+230000+68000</f>
        <v>1655000</v>
      </c>
      <c r="V30" s="24">
        <f>68000+58000+68000+98000+58000+68000+68000+68000+98000+68000+62000+55000+68000+68000+58000+68000+62000+55000+68000+68000+108000+68000</f>
        <v>1528000</v>
      </c>
      <c r="W30" s="24">
        <f>256000+68000+68000+68000+68000+64000+68000+68000+58000+68000+68000+108000+146000+49000+68000+68000+68000+568000+68000+146000+68000+102000</f>
        <v>2381000</v>
      </c>
      <c r="X30" s="24">
        <v>7386000</v>
      </c>
      <c r="Y30" s="24">
        <f>62000+68000+68000+55000+89000+68000+49000+68000+58000+55000+160000+68000+68000+49000+38000+68000+58000+51000+58000+58000+103000+68000+68000+68000</f>
        <v>1623000</v>
      </c>
      <c r="Z30" s="24">
        <f>49000+68000+108000+58000+55000+54000+68000+58000+136000+68000+68000+55000+68000+98000+68000+58000+112000+62000+82000+68000+58000+68000+39000+58000</f>
        <v>1684000</v>
      </c>
      <c r="AA30" s="24">
        <f>88000+64000+52000+49000+58000+52000+88000+59000+68000+58000+55000+58000+88000+58000+58000+68000+58000+49000+79000+68000+58000+49000+62000+58000+92000+62000</f>
        <v>1656000</v>
      </c>
      <c r="AB30" s="24">
        <f>68000+62000+68000+58000+162000+58000+62000+52000+68000+98000+52000+94000+58000+58000+82000+43000+49000+68000+39000+62000+98000+55000+68000+98000</f>
        <v>1680000</v>
      </c>
      <c r="AC30" s="24">
        <f t="shared" si="4"/>
        <v>14029000</v>
      </c>
      <c r="AD30" s="56">
        <f t="shared" si="5"/>
        <v>14029000</v>
      </c>
      <c r="AE30" s="24">
        <f t="shared" si="5"/>
        <v>14029000</v>
      </c>
      <c r="AF30" s="26">
        <f t="shared" si="1"/>
        <v>47.20083948790807</v>
      </c>
    </row>
    <row r="31" spans="1:33" ht="15" customHeight="1" x14ac:dyDescent="0.25">
      <c r="A31" s="22"/>
      <c r="B31" s="22"/>
      <c r="C31" s="22">
        <v>113</v>
      </c>
      <c r="D31" s="22" t="s">
        <v>49</v>
      </c>
      <c r="E31" s="22">
        <v>30</v>
      </c>
      <c r="F31" s="22" t="s">
        <v>27</v>
      </c>
      <c r="G31" s="23" t="s">
        <v>50</v>
      </c>
      <c r="H31" s="24">
        <v>2000000</v>
      </c>
      <c r="I31" s="24">
        <v>0</v>
      </c>
      <c r="J31" s="24">
        <f t="shared" si="18"/>
        <v>2000000</v>
      </c>
      <c r="K31" s="24"/>
      <c r="L31" s="24">
        <f>7500+8500+8500+8500</f>
        <v>33000</v>
      </c>
      <c r="M31" s="24">
        <v>8500</v>
      </c>
      <c r="N31" s="24">
        <v>8500</v>
      </c>
      <c r="O31" s="24">
        <f>+K31+L31+M31+N31</f>
        <v>50000</v>
      </c>
      <c r="P31" s="24">
        <v>17000</v>
      </c>
      <c r="Q31" s="24"/>
      <c r="R31" s="24">
        <v>8500</v>
      </c>
      <c r="S31" s="24">
        <v>17000</v>
      </c>
      <c r="T31" s="24">
        <v>8500</v>
      </c>
      <c r="U31" s="24">
        <v>0</v>
      </c>
      <c r="V31" s="24">
        <v>0</v>
      </c>
      <c r="W31" s="24">
        <f>8500+8500</f>
        <v>17000</v>
      </c>
      <c r="X31" s="24">
        <v>25500</v>
      </c>
      <c r="Y31" s="24">
        <v>0</v>
      </c>
      <c r="Z31" s="24">
        <v>8500</v>
      </c>
      <c r="AA31" s="24">
        <v>34000</v>
      </c>
      <c r="AB31" s="24"/>
      <c r="AC31" s="24">
        <f t="shared" si="4"/>
        <v>68000</v>
      </c>
      <c r="AD31" s="56">
        <f t="shared" si="5"/>
        <v>68000</v>
      </c>
      <c r="AE31" s="24">
        <f t="shared" si="5"/>
        <v>68000</v>
      </c>
      <c r="AF31" s="26">
        <f t="shared" si="1"/>
        <v>3.4</v>
      </c>
    </row>
    <row r="32" spans="1:33" ht="15" customHeight="1" x14ac:dyDescent="0.25">
      <c r="A32" s="22"/>
      <c r="B32" s="22"/>
      <c r="C32" s="22">
        <v>113</v>
      </c>
      <c r="D32" s="22" t="s">
        <v>51</v>
      </c>
      <c r="E32" s="22">
        <v>30</v>
      </c>
      <c r="F32" s="22" t="s">
        <v>27</v>
      </c>
      <c r="G32" s="23" t="s">
        <v>52</v>
      </c>
      <c r="H32" s="24">
        <v>7000000</v>
      </c>
      <c r="I32" s="24">
        <v>0</v>
      </c>
      <c r="J32" s="24">
        <f t="shared" si="18"/>
        <v>7000000</v>
      </c>
      <c r="K32" s="24">
        <f>28500+30000+17500+13500+12500+2500+5500+15500+10500+4600+26500+5000+24000+8700+3500+11000+8500+7500+12500+7500+20000+3500+3500+7500+17500+3500</f>
        <v>310800</v>
      </c>
      <c r="L32" s="24">
        <f>18500+12000+13500+12500+15000+7500+22000+3500+3500+7500+4500+21500+10500+49000+14000+2500+17000+7000+7500+8500+22000</f>
        <v>279500</v>
      </c>
      <c r="M32" s="24">
        <f>33500+25000+4500+5000+21500+13000+23000+15000+14500+24500+12500+16500+19500+10500+11000+35000+20000+14500+12500+2500+20000+26000+27500+20000+15000+30500+7500</f>
        <v>480500</v>
      </c>
      <c r="N32" s="24">
        <f>86000+28000+20000+10000+42000+17500+10000+10000+62500+31000+17500+5000+12500+28000+5000+11000+27500+10000+2500</f>
        <v>436000</v>
      </c>
      <c r="O32" s="24">
        <f t="shared" si="2"/>
        <v>1506800</v>
      </c>
      <c r="P32" s="24">
        <v>293500</v>
      </c>
      <c r="Q32" s="24">
        <f>10000+39500+17000+24500+12500+17500+35000+15000+33000+22500+16000+22500+35000+34500+52500+25000+19000+40000+60000+27500+22000+41500+192500+116000</f>
        <v>930500</v>
      </c>
      <c r="R32" s="24">
        <f>67500+63500+59500+20000+25000+13000+22500+19500+15000+17500+16000+28000+7500+41000+22500+7500+49500+36500+6000+12000+17000+10000+6000+5500</f>
        <v>588000</v>
      </c>
      <c r="S32" s="24">
        <f>2500+5000+5000+28000+12500+9500+12500+18500+12000+2500+16500+9000+2000+5000+22500+7500+6000+2500+11000+2500+12000+5000</f>
        <v>209500</v>
      </c>
      <c r="T32" s="24">
        <f>17500+35000+38500+33500+2500+10000+11500+15000+21000+2500+31500+27500+11000+12500+9500+25000+2500+1000+20000+10000+6500+11000+8500+8500+12500</f>
        <v>384500</v>
      </c>
      <c r="U32" s="24">
        <f>20000+8000+5000+4000+5000+12500+20000+31500+11000+13000+5500+23500+11500+9000+25000+1000+63000+10000+2500+8000+23000+10000+21500+8000</f>
        <v>351500</v>
      </c>
      <c r="V32" s="24">
        <f>15000+18500+7500+12000+10000+30500+17500+19000+27000+18500+6000+11000+2500+12500+19500+29000+14000+7500+7500+9500+12000</f>
        <v>306500</v>
      </c>
      <c r="W32" s="24">
        <f>76000+69500+12500+24500+29500+16000+15000+22500+18000+48500+17500+7500+20000+23500+17500+20000+17000+7500+10000+11000+10000+10000+9500+1000+12000</f>
        <v>526000</v>
      </c>
      <c r="X32" s="24">
        <v>1568500</v>
      </c>
      <c r="Y32" s="24">
        <f>42500+10500+15000+25000+11000+11500+3500+7500+22500+3500+26500+12000+20000+2500+5000+3500+5000+4500+17000+17500+7500+20000+21000+2500</f>
        <v>317000</v>
      </c>
      <c r="Z32" s="24">
        <f>18500+12500+11000+12500+7500+2500+2500+70000+30000+15000+2500+5000+5000+20500+25000+8500+34500+46000+5000+17500+33500+40000+97500</f>
        <v>522500</v>
      </c>
      <c r="AA32" s="24">
        <f>208500+30000+12500+34000+30000+20000+28500+36000+17500+2500+27500+15000+17500+21000+25000+27500+12500+12500+12500+12500+8500+5000+12500+5000+15000+18000</f>
        <v>667000</v>
      </c>
      <c r="AB32" s="24">
        <f>12500+7500+62000+3500+17000+16000+15000+15500+12200+12000+10000+5000+7500+2500+14000+5000+7500+2500+10000+10000+6000+7500+2500</f>
        <v>263200</v>
      </c>
      <c r="AC32" s="24">
        <f t="shared" si="4"/>
        <v>3338200</v>
      </c>
      <c r="AD32" s="56">
        <f t="shared" si="5"/>
        <v>3338200</v>
      </c>
      <c r="AE32" s="24">
        <f t="shared" si="5"/>
        <v>3338200</v>
      </c>
      <c r="AF32" s="26">
        <f t="shared" si="1"/>
        <v>47.688571428571429</v>
      </c>
    </row>
    <row r="33" spans="1:33" ht="15" customHeight="1" x14ac:dyDescent="0.25">
      <c r="A33" s="22"/>
      <c r="B33" s="22"/>
      <c r="C33" s="22">
        <v>113</v>
      </c>
      <c r="D33" s="22" t="s">
        <v>53</v>
      </c>
      <c r="E33" s="22">
        <v>30</v>
      </c>
      <c r="F33" s="22" t="s">
        <v>27</v>
      </c>
      <c r="G33" s="23" t="s">
        <v>54</v>
      </c>
      <c r="H33" s="24">
        <v>1000000</v>
      </c>
      <c r="I33" s="24">
        <v>0</v>
      </c>
      <c r="J33" s="24">
        <f t="shared" si="18"/>
        <v>1000000</v>
      </c>
      <c r="K33" s="24"/>
      <c r="L33" s="24"/>
      <c r="M33" s="24"/>
      <c r="N33" s="24"/>
      <c r="O33" s="24">
        <f t="shared" si="2"/>
        <v>0</v>
      </c>
      <c r="P33" s="24"/>
      <c r="Q33" s="24"/>
      <c r="R33" s="24"/>
      <c r="S33" s="24"/>
      <c r="T33" s="24"/>
      <c r="U33" s="24"/>
      <c r="V33" s="24"/>
      <c r="W33" s="24"/>
      <c r="X33" s="24">
        <v>0</v>
      </c>
      <c r="Y33" s="24">
        <v>0</v>
      </c>
      <c r="Z33" s="24"/>
      <c r="AA33" s="24"/>
      <c r="AB33" s="24"/>
      <c r="AC33" s="24">
        <f t="shared" si="4"/>
        <v>0</v>
      </c>
      <c r="AD33" s="56">
        <f t="shared" si="5"/>
        <v>0</v>
      </c>
      <c r="AE33" s="24">
        <f t="shared" si="5"/>
        <v>0</v>
      </c>
      <c r="AF33" s="26">
        <f t="shared" si="1"/>
        <v>0</v>
      </c>
    </row>
    <row r="34" spans="1:33" ht="15" customHeight="1" x14ac:dyDescent="0.25">
      <c r="A34" s="22"/>
      <c r="B34" s="22"/>
      <c r="C34" s="22">
        <v>113</v>
      </c>
      <c r="D34" s="22" t="s">
        <v>55</v>
      </c>
      <c r="E34" s="22">
        <v>30</v>
      </c>
      <c r="F34" s="22" t="s">
        <v>27</v>
      </c>
      <c r="G34" s="23" t="s">
        <v>56</v>
      </c>
      <c r="H34" s="24">
        <v>4000000</v>
      </c>
      <c r="I34" s="24">
        <v>0</v>
      </c>
      <c r="J34" s="24">
        <f t="shared" si="18"/>
        <v>4000000</v>
      </c>
      <c r="K34" s="24"/>
      <c r="L34" s="24"/>
      <c r="M34" s="24"/>
      <c r="N34" s="24"/>
      <c r="O34" s="24">
        <f t="shared" si="2"/>
        <v>0</v>
      </c>
      <c r="P34" s="24"/>
      <c r="Q34" s="24"/>
      <c r="R34" s="24"/>
      <c r="S34" s="24"/>
      <c r="T34" s="24"/>
      <c r="U34" s="24"/>
      <c r="V34" s="24"/>
      <c r="W34" s="24"/>
      <c r="X34" s="24">
        <v>0</v>
      </c>
      <c r="Y34" s="24">
        <v>0</v>
      </c>
      <c r="Z34" s="24"/>
      <c r="AA34" s="24"/>
      <c r="AB34" s="24"/>
      <c r="AC34" s="24">
        <f t="shared" si="4"/>
        <v>0</v>
      </c>
      <c r="AD34" s="56">
        <f t="shared" si="5"/>
        <v>0</v>
      </c>
      <c r="AE34" s="24">
        <f t="shared" si="5"/>
        <v>0</v>
      </c>
      <c r="AF34" s="26">
        <f t="shared" si="1"/>
        <v>0</v>
      </c>
    </row>
    <row r="35" spans="1:33" s="20" customFormat="1" ht="15" customHeight="1" x14ac:dyDescent="0.3">
      <c r="A35" s="16"/>
      <c r="B35" s="16"/>
      <c r="C35" s="16">
        <v>119</v>
      </c>
      <c r="D35" s="16"/>
      <c r="E35" s="16"/>
      <c r="F35" s="16"/>
      <c r="G35" s="17" t="s">
        <v>57</v>
      </c>
      <c r="H35" s="18">
        <f t="shared" ref="H35:M35" si="19">SUM(H36:H38)</f>
        <v>21500000</v>
      </c>
      <c r="I35" s="18">
        <f t="shared" si="19"/>
        <v>0</v>
      </c>
      <c r="J35" s="18">
        <f t="shared" si="19"/>
        <v>21500000</v>
      </c>
      <c r="K35" s="18">
        <f t="shared" si="19"/>
        <v>5000</v>
      </c>
      <c r="L35" s="18">
        <f t="shared" si="19"/>
        <v>86805</v>
      </c>
      <c r="M35" s="18">
        <f t="shared" si="19"/>
        <v>256077</v>
      </c>
      <c r="N35" s="18">
        <f>+N36+N37+N38</f>
        <v>510466</v>
      </c>
      <c r="O35" s="18">
        <f t="shared" si="2"/>
        <v>858348</v>
      </c>
      <c r="P35" s="18">
        <f t="shared" ref="P35:Q35" si="20">SUM(P36:P38)</f>
        <v>316499</v>
      </c>
      <c r="Q35" s="18">
        <f t="shared" si="20"/>
        <v>1863013</v>
      </c>
      <c r="R35" s="18">
        <f>+R36+R37+R38</f>
        <v>653000</v>
      </c>
      <c r="S35" s="18">
        <f>+S36+S37+S38</f>
        <v>221899</v>
      </c>
      <c r="T35" s="18">
        <f t="shared" ref="T35" si="21">SUM(T36:T38)</f>
        <v>134981</v>
      </c>
      <c r="U35" s="18">
        <f t="shared" ref="U35:W35" si="22">SUM(U36:U38)</f>
        <v>136000</v>
      </c>
      <c r="V35" s="18">
        <f t="shared" si="22"/>
        <v>203225</v>
      </c>
      <c r="W35" s="18">
        <f t="shared" si="22"/>
        <v>259486</v>
      </c>
      <c r="X35" s="18">
        <v>733692</v>
      </c>
      <c r="Y35" s="18">
        <f>+Y36+Y37+Y38</f>
        <v>585703</v>
      </c>
      <c r="Z35" s="18">
        <f>+Z36+Z37+Z38</f>
        <v>931049</v>
      </c>
      <c r="AA35" s="18">
        <f>+AA36+AA37+AA38</f>
        <v>1132499</v>
      </c>
      <c r="AB35" s="18">
        <f>+AB36+AB37+AB38</f>
        <v>206057</v>
      </c>
      <c r="AC35" s="18">
        <f t="shared" si="4"/>
        <v>3589000</v>
      </c>
      <c r="AD35" s="55">
        <f t="shared" si="5"/>
        <v>3589000</v>
      </c>
      <c r="AE35" s="18">
        <f t="shared" si="5"/>
        <v>3589000</v>
      </c>
      <c r="AF35" s="19">
        <f t="shared" si="1"/>
        <v>16.693023255813955</v>
      </c>
      <c r="AG35" s="15"/>
    </row>
    <row r="36" spans="1:33" ht="15" customHeight="1" x14ac:dyDescent="0.25">
      <c r="A36" s="22"/>
      <c r="B36" s="22"/>
      <c r="C36" s="22">
        <v>119</v>
      </c>
      <c r="D36" s="22" t="s">
        <v>29</v>
      </c>
      <c r="E36" s="22">
        <v>30</v>
      </c>
      <c r="F36" s="22" t="s">
        <v>27</v>
      </c>
      <c r="G36" s="23" t="s">
        <v>58</v>
      </c>
      <c r="H36" s="24">
        <v>1500000</v>
      </c>
      <c r="I36" s="24">
        <v>0</v>
      </c>
      <c r="J36" s="24">
        <f>+H36+I36</f>
        <v>1500000</v>
      </c>
      <c r="K36" s="24"/>
      <c r="L36" s="24"/>
      <c r="M36" s="24"/>
      <c r="N36" s="24"/>
      <c r="O36" s="24">
        <f>+K36+L36+M36+N36</f>
        <v>0</v>
      </c>
      <c r="P36" s="24">
        <v>7200</v>
      </c>
      <c r="Q36" s="24"/>
      <c r="R36" s="24"/>
      <c r="S36" s="24"/>
      <c r="T36" s="24">
        <v>0</v>
      </c>
      <c r="U36" s="24">
        <v>0</v>
      </c>
      <c r="V36" s="24">
        <v>0</v>
      </c>
      <c r="W36" s="24"/>
      <c r="X36" s="24">
        <v>0</v>
      </c>
      <c r="Y36" s="24">
        <v>0</v>
      </c>
      <c r="Z36" s="24"/>
      <c r="AA36" s="24"/>
      <c r="AB36" s="24"/>
      <c r="AC36" s="24">
        <f t="shared" si="4"/>
        <v>0</v>
      </c>
      <c r="AD36" s="56">
        <f t="shared" si="5"/>
        <v>0</v>
      </c>
      <c r="AE36" s="24">
        <f t="shared" si="5"/>
        <v>0</v>
      </c>
      <c r="AF36" s="26">
        <f t="shared" si="1"/>
        <v>0</v>
      </c>
    </row>
    <row r="37" spans="1:33" ht="15" customHeight="1" x14ac:dyDescent="0.25">
      <c r="A37" s="22"/>
      <c r="B37" s="22"/>
      <c r="C37" s="22">
        <v>119</v>
      </c>
      <c r="D37" s="22" t="s">
        <v>37</v>
      </c>
      <c r="E37" s="22">
        <v>30</v>
      </c>
      <c r="F37" s="22" t="s">
        <v>27</v>
      </c>
      <c r="G37" s="23" t="s">
        <v>59</v>
      </c>
      <c r="H37" s="24">
        <v>15500000</v>
      </c>
      <c r="I37" s="24">
        <v>0</v>
      </c>
      <c r="J37" s="24">
        <f>+H37+I37</f>
        <v>15500000</v>
      </c>
      <c r="K37" s="24"/>
      <c r="L37" s="24">
        <f>46914+39891</f>
        <v>86805</v>
      </c>
      <c r="M37" s="24">
        <f>7334+34743</f>
        <v>42077</v>
      </c>
      <c r="N37" s="24">
        <f>22349+120562+93555</f>
        <v>236466</v>
      </c>
      <c r="O37" s="24">
        <f t="shared" si="2"/>
        <v>365348</v>
      </c>
      <c r="P37" s="24"/>
      <c r="Q37" s="24">
        <f>27451+5852+90710</f>
        <v>124013</v>
      </c>
      <c r="R37" s="24"/>
      <c r="S37" s="24">
        <v>13899</v>
      </c>
      <c r="T37" s="24">
        <f>24136+41845</f>
        <v>65981</v>
      </c>
      <c r="U37" s="24">
        <v>0</v>
      </c>
      <c r="V37" s="24">
        <f>20961+27679+6139+36446</f>
        <v>91225</v>
      </c>
      <c r="W37" s="24">
        <v>4486</v>
      </c>
      <c r="X37" s="24">
        <v>161692</v>
      </c>
      <c r="Y37" s="24">
        <f>76098+64630+73895+133580</f>
        <v>348203</v>
      </c>
      <c r="Z37" s="24">
        <f>40252+28797</f>
        <v>69049</v>
      </c>
      <c r="AA37" s="24">
        <f>20917+97201+4381</f>
        <v>122499</v>
      </c>
      <c r="AB37" s="24">
        <f>24891+61166</f>
        <v>86057</v>
      </c>
      <c r="AC37" s="24">
        <f t="shared" si="4"/>
        <v>787500</v>
      </c>
      <c r="AD37" s="56">
        <f t="shared" si="5"/>
        <v>787500</v>
      </c>
      <c r="AE37" s="24">
        <f t="shared" si="5"/>
        <v>787500</v>
      </c>
      <c r="AF37" s="26">
        <f t="shared" si="1"/>
        <v>5.080645161290323</v>
      </c>
    </row>
    <row r="38" spans="1:33" ht="15" customHeight="1" x14ac:dyDescent="0.25">
      <c r="A38" s="22"/>
      <c r="B38" s="22"/>
      <c r="C38" s="22">
        <v>119</v>
      </c>
      <c r="D38" s="22" t="s">
        <v>60</v>
      </c>
      <c r="E38" s="22">
        <v>30</v>
      </c>
      <c r="F38" s="22" t="s">
        <v>27</v>
      </c>
      <c r="G38" s="23" t="s">
        <v>61</v>
      </c>
      <c r="H38" s="24">
        <v>4500000</v>
      </c>
      <c r="I38" s="24">
        <v>0</v>
      </c>
      <c r="J38" s="24">
        <f>+H38+I38</f>
        <v>4500000</v>
      </c>
      <c r="K38" s="24">
        <v>5000</v>
      </c>
      <c r="L38" s="24"/>
      <c r="M38" s="24">
        <f>11000+24000+5000+9000+9000+3000+5000+28000+5000+9000+26000+30000+6000+1000+1000+10000+2000+6000+1000+23000</f>
        <v>214000</v>
      </c>
      <c r="N38" s="24">
        <f>40000+16000+6000+18000+2000+18000+1000+11000+1000+11000+5000+19000+53000+11000+10000+44000+8000</f>
        <v>274000</v>
      </c>
      <c r="O38" s="24">
        <f t="shared" si="2"/>
        <v>493000</v>
      </c>
      <c r="P38" s="24">
        <v>309299</v>
      </c>
      <c r="Q38" s="24">
        <f>15000+101000+16000+19000+5000+42000+86000+12000+38000+17000+12000+35000+77000+78000+78000+56000+22000+51000+131000+41000+25000+97000+444000+241000</f>
        <v>1739000</v>
      </c>
      <c r="R38" s="24">
        <f>153000+81000+80000+36000+23000+14000+27000+28000+19000+21000+18000+32000+18000+18000+6000+1000+33000+18000+1000+2000+17000+7000</f>
        <v>653000</v>
      </c>
      <c r="S38" s="24">
        <f>48000+33000+16000+16000+1000+1000+1000+46000+13000+5000+8000+10000+5000+5000</f>
        <v>208000</v>
      </c>
      <c r="T38" s="24">
        <f>8000+16000+22000+5000+11000+1000+6000</f>
        <v>69000</v>
      </c>
      <c r="U38" s="24">
        <f>11000+5000+27000+36000+11000+11000+25000+10000</f>
        <v>136000</v>
      </c>
      <c r="V38" s="24">
        <f>5000+11000+5000+6000+6000+5000+17000+1000+12000+9000+11000+9000+6000+9000</f>
        <v>112000</v>
      </c>
      <c r="W38" s="24">
        <f>21000+21000+2000+6000+9000+17000+1000+24000+54000+14000+2000+13000+2000+1000+18000+5000+6000+2000+17000+20000</f>
        <v>255000</v>
      </c>
      <c r="X38" s="24">
        <v>572000</v>
      </c>
      <c r="Y38" s="24">
        <f>17000+9000+1000+40000+10000+5000+1000+18000+26500+7000+23000+5000+11000+1000+12000+11000+32000+8000</f>
        <v>237500</v>
      </c>
      <c r="Z38" s="24">
        <f>36000+26000+17000+1000+16000+6000+5000+133000+27000+15000+12000+44000+17000+47000+93000+5000+23000+64000+90000+185000</f>
        <v>862000</v>
      </c>
      <c r="AA38" s="24">
        <f>452000+37000+7000+49000+53000+44000+32000+78000+28000+8000+30000+35000+11000+34000+8000+35000+15000+7000+1000+2000+1000+16000+2000+18000+7000</f>
        <v>1010000</v>
      </c>
      <c r="AB38" s="24">
        <f>6000+21000+9000+12000+8000+12000+6000+1000+2000+1000+5000+9000+16000+5000+6000+1000</f>
        <v>120000</v>
      </c>
      <c r="AC38" s="24">
        <f t="shared" si="4"/>
        <v>2801500</v>
      </c>
      <c r="AD38" s="56">
        <f t="shared" si="5"/>
        <v>2801500</v>
      </c>
      <c r="AE38" s="24">
        <f t="shared" si="5"/>
        <v>2801500</v>
      </c>
      <c r="AF38" s="26">
        <f t="shared" si="1"/>
        <v>62.255555555555553</v>
      </c>
    </row>
    <row r="39" spans="1:33" s="20" customFormat="1" ht="15" customHeight="1" x14ac:dyDescent="0.3">
      <c r="A39" s="16"/>
      <c r="B39" s="16">
        <v>130</v>
      </c>
      <c r="C39" s="16"/>
      <c r="D39" s="16"/>
      <c r="E39" s="16"/>
      <c r="F39" s="16"/>
      <c r="G39" s="17" t="s">
        <v>62</v>
      </c>
      <c r="H39" s="18">
        <f t="shared" ref="H39:N39" si="23">+H40</f>
        <v>21208071</v>
      </c>
      <c r="I39" s="18">
        <f t="shared" si="23"/>
        <v>0</v>
      </c>
      <c r="J39" s="18">
        <f t="shared" si="23"/>
        <v>21208071</v>
      </c>
      <c r="K39" s="18">
        <f t="shared" si="23"/>
        <v>431400</v>
      </c>
      <c r="L39" s="18">
        <f t="shared" si="23"/>
        <v>340000</v>
      </c>
      <c r="M39" s="18">
        <f t="shared" si="23"/>
        <v>768950</v>
      </c>
      <c r="N39" s="18">
        <f t="shared" si="23"/>
        <v>724000</v>
      </c>
      <c r="O39" s="18">
        <f t="shared" si="2"/>
        <v>2264350</v>
      </c>
      <c r="P39" s="18">
        <f t="shared" ref="P39:Q39" si="24">+P40</f>
        <v>857500</v>
      </c>
      <c r="Q39" s="18">
        <f t="shared" si="24"/>
        <v>3095000</v>
      </c>
      <c r="R39" s="18">
        <f>+R40</f>
        <v>1635000</v>
      </c>
      <c r="S39" s="18">
        <f>+S40</f>
        <v>553000</v>
      </c>
      <c r="T39" s="18">
        <f t="shared" ref="T39:V39" si="25">+T40</f>
        <v>560000</v>
      </c>
      <c r="U39" s="18">
        <f t="shared" si="25"/>
        <v>525000</v>
      </c>
      <c r="V39" s="18">
        <f t="shared" si="25"/>
        <v>475000</v>
      </c>
      <c r="W39" s="18">
        <f>+W40</f>
        <v>935000</v>
      </c>
      <c r="X39" s="18">
        <v>2495000</v>
      </c>
      <c r="Y39" s="18">
        <f>+Y40</f>
        <v>590000</v>
      </c>
      <c r="Z39" s="18">
        <f>+Z40</f>
        <v>1780000</v>
      </c>
      <c r="AA39" s="18">
        <f>+AA40</f>
        <v>1990000</v>
      </c>
      <c r="AB39" s="18">
        <f>+AB40</f>
        <v>550000</v>
      </c>
      <c r="AC39" s="18">
        <f t="shared" si="4"/>
        <v>7405000</v>
      </c>
      <c r="AD39" s="55">
        <f t="shared" si="5"/>
        <v>7405000</v>
      </c>
      <c r="AE39" s="18">
        <f t="shared" si="5"/>
        <v>7405000</v>
      </c>
      <c r="AF39" s="19">
        <f t="shared" si="1"/>
        <v>34.915952516379257</v>
      </c>
      <c r="AG39" s="15"/>
    </row>
    <row r="40" spans="1:33" ht="15" customHeight="1" x14ac:dyDescent="0.35">
      <c r="A40" s="16"/>
      <c r="B40" s="22"/>
      <c r="C40" s="22">
        <v>132</v>
      </c>
      <c r="D40" s="22"/>
      <c r="E40" s="22"/>
      <c r="F40" s="22"/>
      <c r="G40" s="17" t="s">
        <v>63</v>
      </c>
      <c r="H40" s="27">
        <f t="shared" ref="H40:M40" si="26">SUM(H41:H49)</f>
        <v>21208071</v>
      </c>
      <c r="I40" s="27">
        <f t="shared" si="26"/>
        <v>0</v>
      </c>
      <c r="J40" s="27">
        <f t="shared" si="26"/>
        <v>21208071</v>
      </c>
      <c r="K40" s="27">
        <f t="shared" si="26"/>
        <v>431400</v>
      </c>
      <c r="L40" s="27">
        <f t="shared" si="26"/>
        <v>340000</v>
      </c>
      <c r="M40" s="27">
        <f t="shared" si="26"/>
        <v>768950</v>
      </c>
      <c r="N40" s="27">
        <f>+N41+N42+N43+N44+N45+N46+N47+N48+N49</f>
        <v>724000</v>
      </c>
      <c r="O40" s="18">
        <f t="shared" si="2"/>
        <v>2264350</v>
      </c>
      <c r="P40" s="27">
        <f t="shared" ref="P40:Q40" si="27">SUM(P41:P49)</f>
        <v>857500</v>
      </c>
      <c r="Q40" s="27">
        <f t="shared" si="27"/>
        <v>3095000</v>
      </c>
      <c r="R40" s="27">
        <f>+R41+R42+R43+R44+R45+R46+R47+R48+R49</f>
        <v>1635000</v>
      </c>
      <c r="S40" s="27">
        <f>+S41+S42+S43+S44+S45+S46+S47+S48+S49</f>
        <v>553000</v>
      </c>
      <c r="T40" s="27">
        <f t="shared" ref="T40" si="28">SUM(T41:T49)</f>
        <v>560000</v>
      </c>
      <c r="U40" s="27">
        <f t="shared" ref="U40:W40" si="29">SUM(U41:U49)</f>
        <v>525000</v>
      </c>
      <c r="V40" s="27">
        <f t="shared" si="29"/>
        <v>475000</v>
      </c>
      <c r="W40" s="27">
        <f t="shared" si="29"/>
        <v>935000</v>
      </c>
      <c r="X40" s="27">
        <v>2495000</v>
      </c>
      <c r="Y40" s="27">
        <f>+Y41+Y42+Y43+Y44+Y45+Y46+Y47+Y48+Y49</f>
        <v>590000</v>
      </c>
      <c r="Z40" s="27">
        <f>+Z41+Z42+Z43+Z44+Z45+Z46+Z47+Z48+Z49</f>
        <v>1780000</v>
      </c>
      <c r="AA40" s="27">
        <f>+AA41+AA42+AA43+AA44+AA45+AA46+AA47+AA48+AA49</f>
        <v>1990000</v>
      </c>
      <c r="AB40" s="27">
        <f>+AB41+AB42+AB43+AB44+AB45+AB46+AB47+ABN48+AB49</f>
        <v>550000</v>
      </c>
      <c r="AC40" s="18">
        <f>+X40+Y40+Z40+AA40+AB40</f>
        <v>7405000</v>
      </c>
      <c r="AD40" s="55">
        <f t="shared" si="5"/>
        <v>7405000</v>
      </c>
      <c r="AE40" s="18">
        <f t="shared" si="5"/>
        <v>7405000</v>
      </c>
      <c r="AF40" s="19">
        <f t="shared" si="1"/>
        <v>34.915952516379257</v>
      </c>
    </row>
    <row r="41" spans="1:33" ht="15" customHeight="1" x14ac:dyDescent="0.25">
      <c r="A41" s="22"/>
      <c r="B41" s="22"/>
      <c r="C41" s="22">
        <v>132</v>
      </c>
      <c r="D41" s="22" t="s">
        <v>64</v>
      </c>
      <c r="E41" s="22">
        <v>30</v>
      </c>
      <c r="F41" s="22" t="s">
        <v>27</v>
      </c>
      <c r="G41" s="23" t="s">
        <v>65</v>
      </c>
      <c r="H41" s="24">
        <v>2208071</v>
      </c>
      <c r="I41" s="24">
        <v>0</v>
      </c>
      <c r="J41" s="24">
        <f t="shared" ref="J41:J49" si="30">+H41+I41</f>
        <v>2208071</v>
      </c>
      <c r="K41" s="24">
        <f>9600+3200+4000</f>
        <v>16800</v>
      </c>
      <c r="L41" s="24"/>
      <c r="M41" s="24"/>
      <c r="N41" s="24">
        <f>25000+4000</f>
        <v>29000</v>
      </c>
      <c r="O41" s="24">
        <f t="shared" si="2"/>
        <v>45800</v>
      </c>
      <c r="P41" s="24"/>
      <c r="Q41" s="24"/>
      <c r="R41" s="24">
        <v>10000</v>
      </c>
      <c r="S41" s="24">
        <v>5000</v>
      </c>
      <c r="T41" s="24">
        <f>5000+5000</f>
        <v>10000</v>
      </c>
      <c r="U41" s="24">
        <v>0</v>
      </c>
      <c r="V41" s="24">
        <v>5000</v>
      </c>
      <c r="W41" s="24">
        <v>0</v>
      </c>
      <c r="X41" s="24">
        <v>15000</v>
      </c>
      <c r="Y41" s="24">
        <v>0</v>
      </c>
      <c r="Z41" s="24"/>
      <c r="AA41" s="24">
        <v>25000</v>
      </c>
      <c r="AB41" s="24">
        <f>5000+5000+50000</f>
        <v>60000</v>
      </c>
      <c r="AC41" s="24">
        <f t="shared" si="4"/>
        <v>100000</v>
      </c>
      <c r="AD41" s="56">
        <f t="shared" si="5"/>
        <v>100000</v>
      </c>
      <c r="AE41" s="24">
        <f t="shared" si="5"/>
        <v>100000</v>
      </c>
      <c r="AF41" s="26">
        <f t="shared" si="1"/>
        <v>4.5288398787901292</v>
      </c>
    </row>
    <row r="42" spans="1:33" ht="15" customHeight="1" x14ac:dyDescent="0.25">
      <c r="A42" s="22"/>
      <c r="B42" s="22"/>
      <c r="C42" s="22">
        <v>132</v>
      </c>
      <c r="D42" s="22" t="s">
        <v>66</v>
      </c>
      <c r="E42" s="22">
        <v>30</v>
      </c>
      <c r="F42" s="22" t="s">
        <v>27</v>
      </c>
      <c r="G42" s="23" t="s">
        <v>67</v>
      </c>
      <c r="H42" s="24">
        <v>1500000</v>
      </c>
      <c r="I42" s="24">
        <v>0</v>
      </c>
      <c r="J42" s="24">
        <f t="shared" si="30"/>
        <v>1500000</v>
      </c>
      <c r="K42" s="24">
        <f>2500+2500+11850+3950+4000</f>
        <v>24800</v>
      </c>
      <c r="L42" s="24">
        <f>5000+5000+25000+5000+5000+5000</f>
        <v>50000</v>
      </c>
      <c r="M42" s="24">
        <f>5000+10000+5000+5000</f>
        <v>25000</v>
      </c>
      <c r="N42" s="24">
        <f>5000+4000</f>
        <v>9000</v>
      </c>
      <c r="O42" s="24">
        <f t="shared" si="2"/>
        <v>108800</v>
      </c>
      <c r="P42" s="24">
        <v>10000</v>
      </c>
      <c r="Q42" s="24">
        <f>5000+5000</f>
        <v>10000</v>
      </c>
      <c r="R42" s="24">
        <f>5000+5000</f>
        <v>10000</v>
      </c>
      <c r="S42" s="24">
        <f>5000+10000+5000+5000+5000+5000</f>
        <v>35000</v>
      </c>
      <c r="T42" s="24">
        <f>5000+5000</f>
        <v>10000</v>
      </c>
      <c r="U42" s="24">
        <f>5000+15000+5000</f>
        <v>25000</v>
      </c>
      <c r="V42" s="24">
        <f>5000+5000</f>
        <v>10000</v>
      </c>
      <c r="W42" s="24">
        <f>5000+5000+5000</f>
        <v>15000</v>
      </c>
      <c r="X42" s="24">
        <v>60000</v>
      </c>
      <c r="Y42" s="24">
        <f>10000+5000+5000</f>
        <v>20000</v>
      </c>
      <c r="Z42" s="24"/>
      <c r="AA42" s="24"/>
      <c r="AB42" s="24">
        <f>5000+5000+50000</f>
        <v>60000</v>
      </c>
      <c r="AC42" s="24">
        <f t="shared" si="4"/>
        <v>140000</v>
      </c>
      <c r="AD42" s="56">
        <f t="shared" si="5"/>
        <v>140000</v>
      </c>
      <c r="AE42" s="24">
        <f t="shared" si="5"/>
        <v>140000</v>
      </c>
      <c r="AF42" s="26">
        <f t="shared" si="1"/>
        <v>9.3333333333333339</v>
      </c>
    </row>
    <row r="43" spans="1:33" ht="15" customHeight="1" x14ac:dyDescent="0.25">
      <c r="A43" s="22"/>
      <c r="B43" s="22"/>
      <c r="C43" s="22">
        <v>132</v>
      </c>
      <c r="D43" s="22" t="s">
        <v>68</v>
      </c>
      <c r="E43" s="22">
        <v>30</v>
      </c>
      <c r="F43" s="22" t="s">
        <v>27</v>
      </c>
      <c r="G43" s="23" t="s">
        <v>69</v>
      </c>
      <c r="H43" s="24">
        <v>1500000</v>
      </c>
      <c r="I43" s="24">
        <v>0</v>
      </c>
      <c r="J43" s="24">
        <f t="shared" si="30"/>
        <v>1500000</v>
      </c>
      <c r="K43" s="24">
        <f>10000+10000+11850+3950+4000+5000</f>
        <v>44800</v>
      </c>
      <c r="L43" s="24">
        <f>10000+15000+10000+50000+10000+10000+10000</f>
        <v>115000</v>
      </c>
      <c r="M43" s="24">
        <f>10000+20000+10000+15000+35000</f>
        <v>90000</v>
      </c>
      <c r="N43" s="24">
        <f>10000+13000+5000+25000+4000+15000+30000</f>
        <v>102000</v>
      </c>
      <c r="O43" s="24">
        <f>+K43+L43+M43+N43</f>
        <v>351800</v>
      </c>
      <c r="P43" s="24">
        <v>232500</v>
      </c>
      <c r="Q43" s="24">
        <f>10000+10000+15000</f>
        <v>35000</v>
      </c>
      <c r="R43" s="24">
        <f>10000+10000+10000+10000</f>
        <v>40000</v>
      </c>
      <c r="S43" s="24">
        <f>10000+20000+10000+10000+10000+10000+10000+50000</f>
        <v>130000</v>
      </c>
      <c r="T43" s="24">
        <f>25000+10000+10000+5000</f>
        <v>50000</v>
      </c>
      <c r="U43" s="24">
        <f>50000+10000+30000+10000</f>
        <v>100000</v>
      </c>
      <c r="V43" s="24">
        <f>50000+15000+10000+5000</f>
        <v>80000</v>
      </c>
      <c r="W43" s="24">
        <f>10000+10000+10000+10000+10000+30000</f>
        <v>80000</v>
      </c>
      <c r="X43" s="24">
        <v>310000</v>
      </c>
      <c r="Y43" s="24">
        <f>10000+10000+15000+15000+10000</f>
        <v>60000</v>
      </c>
      <c r="Z43" s="24">
        <f>10000+15000+15000+90000</f>
        <v>130000</v>
      </c>
      <c r="AA43" s="24">
        <f>15000+25000</f>
        <v>40000</v>
      </c>
      <c r="AB43" s="24">
        <f>25000+10000+10000+25000</f>
        <v>70000</v>
      </c>
      <c r="AC43" s="24">
        <f t="shared" si="4"/>
        <v>610000</v>
      </c>
      <c r="AD43" s="56">
        <f t="shared" si="5"/>
        <v>610000</v>
      </c>
      <c r="AE43" s="24">
        <f t="shared" si="5"/>
        <v>610000</v>
      </c>
      <c r="AF43" s="26">
        <f t="shared" si="1"/>
        <v>40.666666666666664</v>
      </c>
    </row>
    <row r="44" spans="1:33" ht="15" customHeight="1" x14ac:dyDescent="0.25">
      <c r="A44" s="22"/>
      <c r="B44" s="22"/>
      <c r="C44" s="22">
        <v>132</v>
      </c>
      <c r="D44" s="22" t="s">
        <v>70</v>
      </c>
      <c r="E44" s="22">
        <v>30</v>
      </c>
      <c r="F44" s="22" t="s">
        <v>27</v>
      </c>
      <c r="G44" s="23" t="s">
        <v>71</v>
      </c>
      <c r="H44" s="24">
        <v>1000000</v>
      </c>
      <c r="I44" s="24">
        <v>0</v>
      </c>
      <c r="J44" s="24">
        <f t="shared" si="30"/>
        <v>1000000</v>
      </c>
      <c r="K44" s="24"/>
      <c r="L44" s="24"/>
      <c r="M44" s="24"/>
      <c r="N44" s="24">
        <f>10000+4000</f>
        <v>14000</v>
      </c>
      <c r="O44" s="24">
        <f t="shared" si="2"/>
        <v>14000</v>
      </c>
      <c r="P44" s="24"/>
      <c r="Q44" s="24"/>
      <c r="R44" s="24"/>
      <c r="S44" s="24">
        <v>3000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/>
      <c r="AA44" s="24">
        <v>25000</v>
      </c>
      <c r="AB44" s="24"/>
      <c r="AC44" s="24">
        <f t="shared" si="4"/>
        <v>25000</v>
      </c>
      <c r="AD44" s="56">
        <f t="shared" si="5"/>
        <v>25000</v>
      </c>
      <c r="AE44" s="24">
        <f t="shared" si="5"/>
        <v>25000</v>
      </c>
      <c r="AF44" s="26">
        <f t="shared" si="1"/>
        <v>2.5</v>
      </c>
    </row>
    <row r="45" spans="1:33" ht="15" customHeight="1" x14ac:dyDescent="0.25">
      <c r="A45" s="22"/>
      <c r="B45" s="22"/>
      <c r="C45" s="22">
        <v>132</v>
      </c>
      <c r="D45" s="22" t="s">
        <v>72</v>
      </c>
      <c r="E45" s="22">
        <v>30</v>
      </c>
      <c r="F45" s="22" t="s">
        <v>27</v>
      </c>
      <c r="G45" s="23" t="s">
        <v>73</v>
      </c>
      <c r="H45" s="24">
        <v>2000000</v>
      </c>
      <c r="I45" s="24">
        <v>0</v>
      </c>
      <c r="J45" s="24">
        <f t="shared" si="30"/>
        <v>2000000</v>
      </c>
      <c r="K45" s="24">
        <f>35000+10000+5000+10000+10000+5000+20000+5000+10000+5000+15000+5000+5000+10000+10000+5000</f>
        <v>165000</v>
      </c>
      <c r="L45" s="24">
        <f>20000+5000+15000+5000+5000+5000+10000+15000+5000+5000</f>
        <v>90000</v>
      </c>
      <c r="M45" s="24">
        <f>5000+25000+5000+15000+20000+3950+20000+5000+35000+5000+5000</f>
        <v>143950</v>
      </c>
      <c r="N45" s="24">
        <f>25000+10000+5000+10000+25000+5000</f>
        <v>80000</v>
      </c>
      <c r="O45" s="24">
        <f t="shared" si="2"/>
        <v>478950</v>
      </c>
      <c r="P45" s="24">
        <v>110000</v>
      </c>
      <c r="Q45" s="24">
        <f>5000+10000+5000+5000+10000+5000+5000+5000+10000</f>
        <v>60000</v>
      </c>
      <c r="R45" s="24">
        <f>5000+15000+10000+5000+10000+55000</f>
        <v>100000</v>
      </c>
      <c r="S45" s="24">
        <f>5000+5000+5000+10000</f>
        <v>25000</v>
      </c>
      <c r="T45" s="24">
        <f>10000+20000+35000+5000+20000+5000+10000+15000+5000+5000+35000+5000+5000</f>
        <v>175000</v>
      </c>
      <c r="U45" s="24">
        <f>5000+10000+10000+10000+5000+5000+5000+10000+5000+20000+5000+5000</f>
        <v>95000</v>
      </c>
      <c r="V45" s="24">
        <f>5000+5000+10000+10000+10000+10000+5000+20000+5000+5000</f>
        <v>85000</v>
      </c>
      <c r="W45" s="24">
        <f>5000+25000+5000+5000+5000+5000+15000+15000+10000+20000+5000+5000+5000+5000+5000</f>
        <v>135000</v>
      </c>
      <c r="X45" s="24">
        <v>490000</v>
      </c>
      <c r="Y45" s="24">
        <f>10000+5000+15000+5000+5000</f>
        <v>40000</v>
      </c>
      <c r="Z45" s="24">
        <f>10000+5000+5000+10000+5000</f>
        <v>35000</v>
      </c>
      <c r="AA45" s="24">
        <f>5000+15000</f>
        <v>20000</v>
      </c>
      <c r="AB45" s="24">
        <f>5000+10000+5000+5000+5000+10000+5000</f>
        <v>45000</v>
      </c>
      <c r="AC45" s="24">
        <f t="shared" si="4"/>
        <v>630000</v>
      </c>
      <c r="AD45" s="56">
        <f t="shared" si="5"/>
        <v>630000</v>
      </c>
      <c r="AE45" s="24">
        <f t="shared" si="5"/>
        <v>630000</v>
      </c>
      <c r="AF45" s="26">
        <f t="shared" si="1"/>
        <v>31.5</v>
      </c>
    </row>
    <row r="46" spans="1:33" ht="15" customHeight="1" x14ac:dyDescent="0.25">
      <c r="A46" s="22"/>
      <c r="B46" s="22"/>
      <c r="C46" s="22">
        <v>132</v>
      </c>
      <c r="D46" s="22" t="s">
        <v>74</v>
      </c>
      <c r="E46" s="22">
        <v>30</v>
      </c>
      <c r="F46" s="22" t="s">
        <v>27</v>
      </c>
      <c r="G46" s="23" t="s">
        <v>75</v>
      </c>
      <c r="H46" s="24">
        <v>4000000</v>
      </c>
      <c r="I46" s="24">
        <v>0</v>
      </c>
      <c r="J46" s="24">
        <f t="shared" si="30"/>
        <v>4000000</v>
      </c>
      <c r="K46" s="24"/>
      <c r="L46" s="24"/>
      <c r="M46" s="24"/>
      <c r="N46" s="24"/>
      <c r="O46" s="24">
        <f t="shared" si="2"/>
        <v>0</v>
      </c>
      <c r="P46" s="24"/>
      <c r="Q46" s="24"/>
      <c r="R46" s="24"/>
      <c r="S46" s="24"/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/>
      <c r="AA46" s="24"/>
      <c r="AB46" s="24"/>
      <c r="AC46" s="24">
        <f t="shared" si="4"/>
        <v>0</v>
      </c>
      <c r="AD46" s="56">
        <f t="shared" si="5"/>
        <v>0</v>
      </c>
      <c r="AE46" s="24">
        <f t="shared" si="5"/>
        <v>0</v>
      </c>
      <c r="AF46" s="26">
        <f t="shared" si="1"/>
        <v>0</v>
      </c>
    </row>
    <row r="47" spans="1:33" ht="15" customHeight="1" x14ac:dyDescent="0.25">
      <c r="A47" s="22"/>
      <c r="B47" s="22"/>
      <c r="C47" s="22">
        <v>132</v>
      </c>
      <c r="D47" s="22" t="s">
        <v>76</v>
      </c>
      <c r="E47" s="22">
        <v>30</v>
      </c>
      <c r="F47" s="22" t="s">
        <v>27</v>
      </c>
      <c r="G47" s="23" t="s">
        <v>77</v>
      </c>
      <c r="H47" s="24">
        <v>3000000</v>
      </c>
      <c r="I47" s="24">
        <v>0</v>
      </c>
      <c r="J47" s="24">
        <f t="shared" si="30"/>
        <v>3000000</v>
      </c>
      <c r="K47" s="24">
        <f>35000+15000+10000+10000+10000+5000+20000+5000+10000+5000+15000+5000+5000+10000+10000+5000</f>
        <v>175000</v>
      </c>
      <c r="L47" s="24">
        <f>20000+5000+15000+5000+5000+5000+10000+15000+5000</f>
        <v>85000</v>
      </c>
      <c r="M47" s="24">
        <f>5000+25000+5000+15000+20000+20000+5000+35000+5000+5000</f>
        <v>140000</v>
      </c>
      <c r="N47" s="24">
        <f>25000+10000+5000+20000+25000+5000</f>
        <v>90000</v>
      </c>
      <c r="O47" s="24">
        <f t="shared" si="2"/>
        <v>490000</v>
      </c>
      <c r="P47" s="24">
        <v>115000</v>
      </c>
      <c r="Q47" s="24">
        <f>5000+10000+5000+5000+10000+5000+5000+5000+10000</f>
        <v>60000</v>
      </c>
      <c r="R47" s="24">
        <f>5000+15000+15000+5000+10000+55000</f>
        <v>105000</v>
      </c>
      <c r="S47" s="24">
        <f>5000+5000+10000</f>
        <v>20000</v>
      </c>
      <c r="T47" s="24">
        <f>10000+20000+35000+5000+20000+5000+10000+15000+5000+5000+35000+5000+5000</f>
        <v>175000</v>
      </c>
      <c r="U47" s="24">
        <f>5000+10000+10000+10000+5000+5000+5000+10000+5000+20000+5000+5000</f>
        <v>95000</v>
      </c>
      <c r="V47" s="24">
        <f>5000+5000+10000+10000+10000+10000+5000+20000+5000+5000</f>
        <v>85000</v>
      </c>
      <c r="W47" s="24">
        <f>5000+25000+5000+5000+5000+5000+15000+15000+10000+20000+5000+5000+5000+5000+5000</f>
        <v>135000</v>
      </c>
      <c r="X47" s="24">
        <v>490000</v>
      </c>
      <c r="Y47" s="24">
        <f>10000+5000+15000+5000+5000</f>
        <v>40000</v>
      </c>
      <c r="Z47" s="24">
        <f>10000+5000+5000+10000+5000</f>
        <v>35000</v>
      </c>
      <c r="AA47" s="24">
        <f>5000+15000</f>
        <v>20000</v>
      </c>
      <c r="AB47" s="24">
        <f>5000+10000+5000+5000+5000+10000+5000</f>
        <v>45000</v>
      </c>
      <c r="AC47" s="24">
        <f t="shared" si="4"/>
        <v>630000</v>
      </c>
      <c r="AD47" s="56">
        <f t="shared" si="5"/>
        <v>630000</v>
      </c>
      <c r="AE47" s="24">
        <f t="shared" si="5"/>
        <v>630000</v>
      </c>
      <c r="AF47" s="26">
        <f t="shared" ref="AF47:AF78" si="31">+AC47*100/J47</f>
        <v>21</v>
      </c>
    </row>
    <row r="48" spans="1:33" ht="15" customHeight="1" x14ac:dyDescent="0.25">
      <c r="A48" s="22"/>
      <c r="B48" s="22"/>
      <c r="C48" s="22">
        <v>132</v>
      </c>
      <c r="D48" s="22" t="s">
        <v>78</v>
      </c>
      <c r="E48" s="22">
        <v>30</v>
      </c>
      <c r="F48" s="22" t="s">
        <v>27</v>
      </c>
      <c r="G48" s="23" t="s">
        <v>79</v>
      </c>
      <c r="H48" s="24">
        <v>1000000</v>
      </c>
      <c r="I48" s="24">
        <v>0</v>
      </c>
      <c r="J48" s="24">
        <f t="shared" si="30"/>
        <v>1000000</v>
      </c>
      <c r="K48" s="24"/>
      <c r="L48" s="24"/>
      <c r="M48" s="24"/>
      <c r="N48" s="24"/>
      <c r="O48" s="24">
        <f t="shared" si="2"/>
        <v>0</v>
      </c>
      <c r="P48" s="24"/>
      <c r="Q48" s="24"/>
      <c r="R48" s="24"/>
      <c r="S48" s="24"/>
      <c r="T48" s="24">
        <v>0</v>
      </c>
      <c r="U48" s="24">
        <v>0</v>
      </c>
      <c r="V48" s="24"/>
      <c r="W48" s="24" t="s">
        <v>138</v>
      </c>
      <c r="X48" s="24">
        <v>0</v>
      </c>
      <c r="Y48" s="24">
        <v>0</v>
      </c>
      <c r="Z48" s="24"/>
      <c r="AA48" s="24"/>
      <c r="AB48" s="24"/>
      <c r="AC48" s="24">
        <f t="shared" si="4"/>
        <v>0</v>
      </c>
      <c r="AD48" s="56">
        <f t="shared" si="5"/>
        <v>0</v>
      </c>
      <c r="AE48" s="24">
        <f t="shared" si="5"/>
        <v>0</v>
      </c>
      <c r="AF48" s="26">
        <f t="shared" si="31"/>
        <v>0</v>
      </c>
    </row>
    <row r="49" spans="1:36" ht="15" customHeight="1" x14ac:dyDescent="0.25">
      <c r="A49" s="22"/>
      <c r="B49" s="22"/>
      <c r="C49" s="22">
        <v>132</v>
      </c>
      <c r="D49" s="22" t="s">
        <v>80</v>
      </c>
      <c r="E49" s="22">
        <v>30</v>
      </c>
      <c r="F49" s="22" t="s">
        <v>27</v>
      </c>
      <c r="G49" s="23" t="s">
        <v>81</v>
      </c>
      <c r="H49" s="24">
        <v>5000000</v>
      </c>
      <c r="I49" s="24">
        <v>0</v>
      </c>
      <c r="J49" s="24">
        <f t="shared" si="30"/>
        <v>5000000</v>
      </c>
      <c r="K49" s="24">
        <v>5000</v>
      </c>
      <c r="L49" s="24"/>
      <c r="M49" s="24">
        <f>10000+20000+10000+10000+10000+30000+10000+40000+10000+10000+40000+40000+10000+10000+10000+20000+20000+20000+10000+30000</f>
        <v>370000</v>
      </c>
      <c r="N49" s="24">
        <f>70000+30000+10000+20000+20000+10000+30000+10000+20000+10000+30000+70000+10000+20000+30000+10000</f>
        <v>400000</v>
      </c>
      <c r="O49" s="24">
        <f t="shared" si="2"/>
        <v>775000</v>
      </c>
      <c r="P49" s="24">
        <v>390000</v>
      </c>
      <c r="Q49" s="24">
        <f>20000+120000+40000+50000+10000+60000+140000+30000+70000+30000+40000+70000+110000+130000+150000+70000+30000+100000+230000+90000+50000+140000+730000+420000</f>
        <v>2930000</v>
      </c>
      <c r="R49" s="24">
        <f>250000+150000+150000+70000+80000+20000+80000+50000+50000+30000+50000+70000+30000+60000+10000+10000+50000+70000+10000+20000+30000+30000</f>
        <v>1370000</v>
      </c>
      <c r="S49" s="24">
        <f>70000+50000+30000+20000+10000+10000+10000+60000+15000+10000+10000+20000+10000+10000</f>
        <v>335000</v>
      </c>
      <c r="T49" s="24">
        <f>30000+20000+50000+10000+10000+10000+10000</f>
        <v>140000</v>
      </c>
      <c r="U49" s="24">
        <f>10000+10000+30000+70000+20000+20000+30000+20000</f>
        <v>210000</v>
      </c>
      <c r="V49" s="24">
        <f>10000+30000+10000+10000+20000+10000+20000+10000+30000+10000+20000+10000+10000+10000</f>
        <v>210000</v>
      </c>
      <c r="W49" s="24">
        <f>30000+60000+20000+20000+20000+40000+10000+80000+70000+20000+20000+30000+20000+10000+30000+20000+10000+20000+20000+20000</f>
        <v>570000</v>
      </c>
      <c r="X49" s="24">
        <v>1130000</v>
      </c>
      <c r="Y49" s="24">
        <f>20000+10000+10000+80000+20000+10000+10000+40000+40000+20000+50000+10000+10000+10000+20000+10000+50000+10000</f>
        <v>430000</v>
      </c>
      <c r="Z49" s="24">
        <f>50000+50000+30000+10000+20000+10000+10000+220000+70000+40000+30000+80000+30000+90000+180000+10000+50000+110000+160000+330000</f>
        <v>1580000</v>
      </c>
      <c r="AA49" s="24">
        <f>730000+80000+30000+110000+110000+80000+60000+100000+60000+10000+70000+60000+20000+60000+30000+70000+30000+20000+10000+20000+10000+30000+20000+20000+20000</f>
        <v>1860000</v>
      </c>
      <c r="AB49" s="24">
        <f>10000+30000+10000+40000+10000+30000+20000+10000+20000+10000+10000+10000+30000+10000+10000+10000</f>
        <v>270000</v>
      </c>
      <c r="AC49" s="24">
        <f t="shared" si="4"/>
        <v>5270000</v>
      </c>
      <c r="AD49" s="56">
        <f t="shared" si="5"/>
        <v>5270000</v>
      </c>
      <c r="AE49" s="24">
        <f t="shared" si="5"/>
        <v>5270000</v>
      </c>
      <c r="AF49" s="26">
        <f t="shared" si="31"/>
        <v>105.4</v>
      </c>
    </row>
    <row r="50" spans="1:36" s="20" customFormat="1" ht="15" customHeight="1" x14ac:dyDescent="0.3">
      <c r="A50" s="16"/>
      <c r="B50" s="16">
        <v>140</v>
      </c>
      <c r="C50" s="16"/>
      <c r="D50" s="16"/>
      <c r="E50" s="16"/>
      <c r="F50" s="16"/>
      <c r="G50" s="17" t="s">
        <v>82</v>
      </c>
      <c r="H50" s="18">
        <f t="shared" ref="H50:N50" si="32">+H51+H56</f>
        <v>38500000</v>
      </c>
      <c r="I50" s="18">
        <f t="shared" si="32"/>
        <v>0</v>
      </c>
      <c r="J50" s="18">
        <f t="shared" si="32"/>
        <v>38500000</v>
      </c>
      <c r="K50" s="18">
        <f t="shared" si="32"/>
        <v>1137900</v>
      </c>
      <c r="L50" s="18">
        <f t="shared" si="32"/>
        <v>1074500</v>
      </c>
      <c r="M50" s="18">
        <f t="shared" si="32"/>
        <v>1717000</v>
      </c>
      <c r="N50" s="18">
        <f t="shared" si="32"/>
        <v>2039000</v>
      </c>
      <c r="O50" s="18">
        <f>+K50+L50+M50+N50</f>
        <v>5968400</v>
      </c>
      <c r="P50" s="18">
        <f t="shared" ref="P50:Q50" si="33">+P51+P56</f>
        <v>1624500</v>
      </c>
      <c r="Q50" s="18">
        <f t="shared" si="33"/>
        <v>5840000</v>
      </c>
      <c r="R50" s="18">
        <f>+R51+R56</f>
        <v>3540500</v>
      </c>
      <c r="S50" s="18">
        <f>+S51+S56</f>
        <v>1071000</v>
      </c>
      <c r="T50" s="18">
        <f t="shared" ref="T50" si="34">+T51+T56</f>
        <v>1719000</v>
      </c>
      <c r="U50" s="18">
        <f>+U51+U56</f>
        <v>1640500</v>
      </c>
      <c r="V50" s="18">
        <f t="shared" ref="V50:W50" si="35">+V51+V56</f>
        <v>1254500</v>
      </c>
      <c r="W50" s="18">
        <f t="shared" si="35"/>
        <v>2841000</v>
      </c>
      <c r="X50" s="18">
        <v>7455000</v>
      </c>
      <c r="Y50" s="18">
        <f>+Y51+Y56</f>
        <v>1594000</v>
      </c>
      <c r="Z50" s="18">
        <f>+Z51+Z56</f>
        <v>3376000</v>
      </c>
      <c r="AA50" s="18">
        <f>+AA51+AA56</f>
        <v>4077000</v>
      </c>
      <c r="AB50" s="18">
        <f>+AB51+AB56</f>
        <v>1539500</v>
      </c>
      <c r="AC50" s="18">
        <f t="shared" si="4"/>
        <v>18041500</v>
      </c>
      <c r="AD50" s="55">
        <f t="shared" si="5"/>
        <v>18041500</v>
      </c>
      <c r="AE50" s="18">
        <f t="shared" si="5"/>
        <v>18041500</v>
      </c>
      <c r="AF50" s="19">
        <f t="shared" si="31"/>
        <v>46.861038961038957</v>
      </c>
      <c r="AG50" s="15"/>
    </row>
    <row r="51" spans="1:36" s="20" customFormat="1" ht="15" customHeight="1" x14ac:dyDescent="0.3">
      <c r="A51" s="16"/>
      <c r="B51" s="16"/>
      <c r="C51" s="16">
        <v>141</v>
      </c>
      <c r="D51" s="16"/>
      <c r="E51" s="16"/>
      <c r="F51" s="16"/>
      <c r="G51" s="17" t="s">
        <v>83</v>
      </c>
      <c r="H51" s="18">
        <f t="shared" ref="H51:M51" si="36">SUM(H52:H55)</f>
        <v>16500000</v>
      </c>
      <c r="I51" s="18">
        <f t="shared" si="36"/>
        <v>0</v>
      </c>
      <c r="J51" s="18">
        <f t="shared" si="36"/>
        <v>16500000</v>
      </c>
      <c r="K51" s="18">
        <f t="shared" si="36"/>
        <v>87500</v>
      </c>
      <c r="L51" s="18">
        <f t="shared" si="36"/>
        <v>154000</v>
      </c>
      <c r="M51" s="18">
        <f t="shared" si="36"/>
        <v>452500</v>
      </c>
      <c r="N51" s="18">
        <f>+N52+N53+N54+N55</f>
        <v>955000</v>
      </c>
      <c r="O51" s="18">
        <f t="shared" si="2"/>
        <v>1649000</v>
      </c>
      <c r="P51" s="18">
        <f t="shared" ref="P51:Q51" si="37">SUM(P52:P55)</f>
        <v>765000</v>
      </c>
      <c r="Q51" s="18">
        <f t="shared" si="37"/>
        <v>3298000</v>
      </c>
      <c r="R51" s="18">
        <f>+R52+R53+R54+R55</f>
        <v>1791500</v>
      </c>
      <c r="S51" s="18">
        <f>+S52+S53+S54+S55</f>
        <v>400000</v>
      </c>
      <c r="T51" s="18">
        <f t="shared" ref="T51" si="38">SUM(T52:T55)</f>
        <v>664500</v>
      </c>
      <c r="U51" s="18">
        <f t="shared" ref="U51:V51" si="39">SUM(U52:U55)</f>
        <v>482500</v>
      </c>
      <c r="V51" s="18">
        <f t="shared" si="39"/>
        <v>305000</v>
      </c>
      <c r="W51" s="18">
        <f>SUM(W52:W55)</f>
        <v>1289000</v>
      </c>
      <c r="X51" s="18">
        <v>2741000</v>
      </c>
      <c r="Y51" s="18">
        <f>+Y52+Y53+Y54+Y55</f>
        <v>667500</v>
      </c>
      <c r="Z51" s="18">
        <f>+Z52+Z53+Z54+Z55</f>
        <v>1902500</v>
      </c>
      <c r="AA51" s="18">
        <f>+AA52+AA53+AA54+AA55</f>
        <v>2055000</v>
      </c>
      <c r="AB51" s="18">
        <f>+AB52+AB53+AB54+AB55</f>
        <v>754000</v>
      </c>
      <c r="AC51" s="18">
        <f t="shared" si="4"/>
        <v>8120000</v>
      </c>
      <c r="AD51" s="55">
        <f t="shared" si="5"/>
        <v>8120000</v>
      </c>
      <c r="AE51" s="18">
        <f t="shared" si="5"/>
        <v>8120000</v>
      </c>
      <c r="AF51" s="19">
        <f t="shared" si="31"/>
        <v>49.212121212121211</v>
      </c>
      <c r="AG51" s="15"/>
    </row>
    <row r="52" spans="1:36" ht="15" customHeight="1" x14ac:dyDescent="0.25">
      <c r="A52" s="22"/>
      <c r="B52" s="22"/>
      <c r="C52" s="22">
        <v>141</v>
      </c>
      <c r="D52" s="22" t="s">
        <v>84</v>
      </c>
      <c r="E52" s="22">
        <v>30</v>
      </c>
      <c r="F52" s="22" t="s">
        <v>27</v>
      </c>
      <c r="G52" s="23" t="s">
        <v>85</v>
      </c>
      <c r="H52" s="24">
        <v>1500000</v>
      </c>
      <c r="I52" s="24">
        <v>0</v>
      </c>
      <c r="J52" s="24">
        <f>+H52+I52</f>
        <v>1500000</v>
      </c>
      <c r="K52" s="24">
        <f>32500+32500+12500</f>
        <v>77500</v>
      </c>
      <c r="L52" s="24">
        <f>65000+31500+32500+25000</f>
        <v>154000</v>
      </c>
      <c r="M52" s="24">
        <f>12500+32500+10000+12500+12500+12500</f>
        <v>92500</v>
      </c>
      <c r="N52" s="24">
        <f>32500+12500+32500+122500</f>
        <v>200000</v>
      </c>
      <c r="O52" s="24">
        <f t="shared" si="2"/>
        <v>524000</v>
      </c>
      <c r="P52" s="24">
        <v>147500</v>
      </c>
      <c r="Q52" s="24">
        <f>35500+12500</f>
        <v>48000</v>
      </c>
      <c r="R52" s="24">
        <f>11500+11500+142500+39000+12500</f>
        <v>217000</v>
      </c>
      <c r="S52" s="24"/>
      <c r="T52" s="24">
        <f>23000+11500+23000+23000+25000+11500+12500</f>
        <v>129500</v>
      </c>
      <c r="U52" s="24">
        <f>32500+25000</f>
        <v>57500</v>
      </c>
      <c r="V52" s="24">
        <v>0</v>
      </c>
      <c r="W52" s="24">
        <f>32500+92500+12500+11500+12500+32500</f>
        <v>194000</v>
      </c>
      <c r="X52" s="24">
        <v>381000</v>
      </c>
      <c r="Y52" s="24">
        <f>12500+12500+12500</f>
        <v>37500</v>
      </c>
      <c r="Z52" s="24">
        <f>142500+12500+12500</f>
        <v>167500</v>
      </c>
      <c r="AA52" s="24"/>
      <c r="AB52" s="24">
        <f>12500+155000+11500</f>
        <v>179000</v>
      </c>
      <c r="AC52" s="24">
        <f t="shared" si="4"/>
        <v>765000</v>
      </c>
      <c r="AD52" s="56">
        <f t="shared" si="5"/>
        <v>765000</v>
      </c>
      <c r="AE52" s="24">
        <f t="shared" si="5"/>
        <v>765000</v>
      </c>
      <c r="AF52" s="26">
        <f t="shared" si="31"/>
        <v>51</v>
      </c>
    </row>
    <row r="53" spans="1:36" ht="15" customHeight="1" x14ac:dyDescent="0.25">
      <c r="A53" s="22"/>
      <c r="B53" s="22"/>
      <c r="C53" s="22">
        <v>141</v>
      </c>
      <c r="D53" s="22" t="s">
        <v>86</v>
      </c>
      <c r="E53" s="22">
        <v>30</v>
      </c>
      <c r="F53" s="22" t="s">
        <v>39</v>
      </c>
      <c r="G53" s="23" t="s">
        <v>87</v>
      </c>
      <c r="H53" s="24">
        <v>10000000</v>
      </c>
      <c r="I53" s="24">
        <v>0</v>
      </c>
      <c r="J53" s="24">
        <f>+H53+I53</f>
        <v>10000000</v>
      </c>
      <c r="K53" s="24">
        <v>10000</v>
      </c>
      <c r="L53" s="24"/>
      <c r="M53" s="24">
        <f>10000+20000+10000+10000+30000+10000+40000+10000+10000+40000+40000+10000+10000+10000+20000+20000+20000+10000+30000</f>
        <v>360000</v>
      </c>
      <c r="N53" s="24">
        <f>70000+30000+10000+20000+20000+20000+10000+30000+10000+20000+10000+30000+70000+10000+20000+30000+10000</f>
        <v>420000</v>
      </c>
      <c r="O53" s="24">
        <f t="shared" si="2"/>
        <v>790000</v>
      </c>
      <c r="P53" s="24">
        <v>390000</v>
      </c>
      <c r="Q53" s="24">
        <f>20000+120000+40000+50000+10000+60000+140000+30000+70000+30000+40000+70000+110000+130000+150000+70000+30000+100000+230000+90000+50000+140000+730000+420000</f>
        <v>2930000</v>
      </c>
      <c r="R53" s="24">
        <f>250000+150000+150000+70000+80000+20000+80000+50000+50000+30000+50000+70000+30000+60000+10000+10000+50000+70000+10000+20000+30000+30000</f>
        <v>1370000</v>
      </c>
      <c r="S53" s="24">
        <f>70000+50000+30000+20000+10000+10000+10000+60000+15000+10000+10000+20000+10000+10000</f>
        <v>335000</v>
      </c>
      <c r="T53" s="24">
        <f>30000+20000+50000+10000+10000+10000+10000</f>
        <v>140000</v>
      </c>
      <c r="U53" s="24">
        <f>10000+10000+30000+70000+20000+20000+30000+20000</f>
        <v>210000</v>
      </c>
      <c r="V53" s="24">
        <f>10000+30000+10000+10000+20000+10000+20000+10000+30000+10000+20000+10000+10000+10000</f>
        <v>210000</v>
      </c>
      <c r="W53" s="24">
        <f>30000+60000+20000+20000+20000+40000+10000+80000+70000+20000+20000+30000+20000+10000+30000+10000+20000+20000+20000+20000</f>
        <v>570000</v>
      </c>
      <c r="X53" s="24">
        <v>1130000</v>
      </c>
      <c r="Y53" s="24">
        <f>20000+10000+10000+80000+20000+10000+10000+40000+40000+20000+50000+10000+10000+10000+20000+10000+50000+10000</f>
        <v>430000</v>
      </c>
      <c r="Z53" s="24">
        <f>50000+50000+30000+10000+20000+10000+10000+220000+70000+40000+30000+80000+30000+90000+180000+10000+50000+110000+160000+330000</f>
        <v>1580000</v>
      </c>
      <c r="AA53" s="24">
        <f>730000+80000+30000+110000+110000+80000+60000+100000+60000+10000+70000+60000+20000+60000+30000+70000+30000+20000+10000+20000+10000+30000+20000+20000+20000</f>
        <v>1860000</v>
      </c>
      <c r="AB53" s="24">
        <f>10000+30000+10000+40000+10000+30000+20000+10000+20000+10000+10000+20000+10000+30000+10000+10000+10000</f>
        <v>290000</v>
      </c>
      <c r="AC53" s="24">
        <f t="shared" si="4"/>
        <v>5290000</v>
      </c>
      <c r="AD53" s="56">
        <f t="shared" si="5"/>
        <v>5290000</v>
      </c>
      <c r="AE53" s="24">
        <f t="shared" si="5"/>
        <v>5290000</v>
      </c>
      <c r="AF53" s="26">
        <f t="shared" si="31"/>
        <v>52.9</v>
      </c>
    </row>
    <row r="54" spans="1:36" ht="15" customHeight="1" x14ac:dyDescent="0.25">
      <c r="A54" s="22"/>
      <c r="B54" s="22"/>
      <c r="C54" s="22">
        <v>141</v>
      </c>
      <c r="D54" s="22" t="s">
        <v>39</v>
      </c>
      <c r="E54" s="22">
        <v>30</v>
      </c>
      <c r="F54" s="22" t="s">
        <v>27</v>
      </c>
      <c r="G54" s="23" t="s">
        <v>88</v>
      </c>
      <c r="H54" s="24">
        <v>4000000</v>
      </c>
      <c r="I54" s="24">
        <v>0</v>
      </c>
      <c r="J54" s="24">
        <f>+H54+I54</f>
        <v>4000000</v>
      </c>
      <c r="K54" s="24"/>
      <c r="L54" s="24"/>
      <c r="M54" s="24"/>
      <c r="N54" s="24">
        <f>25000+50000+85000+25000+55000+50000+25000+20000</f>
        <v>335000</v>
      </c>
      <c r="O54" s="24">
        <f t="shared" si="2"/>
        <v>335000</v>
      </c>
      <c r="P54" s="24">
        <v>227500</v>
      </c>
      <c r="Q54" s="24">
        <f>20000+55000+25000+25000+25000+25000+70000+20000+55000</f>
        <v>320000</v>
      </c>
      <c r="R54" s="24">
        <f>20000+89500+30000+20000+25000+20000</f>
        <v>204500</v>
      </c>
      <c r="S54" s="24">
        <f>20000+45000</f>
        <v>65000</v>
      </c>
      <c r="T54" s="24">
        <f>75000+80000+25000+25000+55000+45000+40000+25000+25000</f>
        <v>395000</v>
      </c>
      <c r="U54" s="24">
        <f>25000+25000+20000+25000+25000+45000+25000+25000</f>
        <v>215000</v>
      </c>
      <c r="V54" s="24">
        <f>45000+50000</f>
        <v>95000</v>
      </c>
      <c r="W54" s="24">
        <f>80000+95000+20000+20000+55000+95000+45000+25000+20000+45000+25000</f>
        <v>525000</v>
      </c>
      <c r="X54" s="24">
        <v>1230000</v>
      </c>
      <c r="Y54" s="24">
        <f>65000+25000+20000+25000+20000+45000</f>
        <v>200000</v>
      </c>
      <c r="Z54" s="24">
        <f>45000+65000+20000+25000</f>
        <v>155000</v>
      </c>
      <c r="AA54" s="24">
        <f>35000+25000+25000+20000+45000+25000+20000</f>
        <v>195000</v>
      </c>
      <c r="AB54" s="24">
        <f>75000+25000+35000+25000+25000+50000+25000+25000</f>
        <v>285000</v>
      </c>
      <c r="AC54" s="24">
        <f>+X54+Y54+Z54+AA54+AB54</f>
        <v>2065000</v>
      </c>
      <c r="AD54" s="56">
        <f t="shared" si="5"/>
        <v>2065000</v>
      </c>
      <c r="AE54" s="24">
        <f t="shared" si="5"/>
        <v>2065000</v>
      </c>
      <c r="AF54" s="26">
        <f t="shared" si="31"/>
        <v>51.625</v>
      </c>
    </row>
    <row r="55" spans="1:36" ht="15" customHeight="1" x14ac:dyDescent="0.25">
      <c r="A55" s="22"/>
      <c r="B55" s="22"/>
      <c r="C55" s="22">
        <v>141</v>
      </c>
      <c r="D55" s="22" t="s">
        <v>45</v>
      </c>
      <c r="E55" s="22">
        <v>30</v>
      </c>
      <c r="F55" s="22" t="s">
        <v>27</v>
      </c>
      <c r="G55" s="23" t="s">
        <v>89</v>
      </c>
      <c r="H55" s="24">
        <v>1000000</v>
      </c>
      <c r="I55" s="24">
        <v>0</v>
      </c>
      <c r="J55" s="24">
        <f>+H55+I55</f>
        <v>1000000</v>
      </c>
      <c r="K55" s="24"/>
      <c r="L55" s="24"/>
      <c r="M55" s="24"/>
      <c r="N55" s="24"/>
      <c r="O55" s="24">
        <f t="shared" si="2"/>
        <v>0</v>
      </c>
      <c r="P55" s="24"/>
      <c r="Q55" s="24"/>
      <c r="R55" s="24"/>
      <c r="S55" s="24"/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/>
      <c r="AA55" s="24"/>
      <c r="AB55" s="24"/>
      <c r="AC55" s="24">
        <f t="shared" si="4"/>
        <v>0</v>
      </c>
      <c r="AD55" s="56">
        <f t="shared" si="5"/>
        <v>0</v>
      </c>
      <c r="AE55" s="24">
        <f t="shared" si="5"/>
        <v>0</v>
      </c>
      <c r="AF55" s="26">
        <f t="shared" si="31"/>
        <v>0</v>
      </c>
    </row>
    <row r="56" spans="1:36" ht="14.25" customHeight="1" x14ac:dyDescent="0.35">
      <c r="A56" s="16"/>
      <c r="B56" s="22"/>
      <c r="C56" s="22">
        <v>142</v>
      </c>
      <c r="D56" s="22"/>
      <c r="E56" s="22"/>
      <c r="F56" s="22"/>
      <c r="G56" s="17" t="s">
        <v>90</v>
      </c>
      <c r="H56" s="27">
        <f t="shared" ref="H56:M56" si="40">SUM(H57:H58)</f>
        <v>22000000</v>
      </c>
      <c r="I56" s="27">
        <f t="shared" si="40"/>
        <v>0</v>
      </c>
      <c r="J56" s="27">
        <f t="shared" si="40"/>
        <v>22000000</v>
      </c>
      <c r="K56" s="27">
        <f t="shared" si="40"/>
        <v>1050400</v>
      </c>
      <c r="L56" s="27">
        <f t="shared" si="40"/>
        <v>920500</v>
      </c>
      <c r="M56" s="27">
        <f t="shared" si="40"/>
        <v>1264500</v>
      </c>
      <c r="N56" s="27">
        <f>+N57+N58</f>
        <v>1084000</v>
      </c>
      <c r="O56" s="18">
        <f t="shared" si="2"/>
        <v>4319400</v>
      </c>
      <c r="P56" s="27">
        <f t="shared" ref="P56:Q56" si="41">SUM(P57:P58)</f>
        <v>859500</v>
      </c>
      <c r="Q56" s="27">
        <f t="shared" si="41"/>
        <v>2542000</v>
      </c>
      <c r="R56" s="27">
        <f>+R57+R58</f>
        <v>1749000</v>
      </c>
      <c r="S56" s="27">
        <f>+S57+S58</f>
        <v>671000</v>
      </c>
      <c r="T56" s="27">
        <f t="shared" ref="T56" si="42">SUM(T57:T58)</f>
        <v>1054500</v>
      </c>
      <c r="U56" s="27">
        <f t="shared" ref="U56:W56" si="43">SUM(U57:U58)</f>
        <v>1158000</v>
      </c>
      <c r="V56" s="27">
        <f>SUM(V57:V58)</f>
        <v>949500</v>
      </c>
      <c r="W56" s="27">
        <f t="shared" si="43"/>
        <v>1552000</v>
      </c>
      <c r="X56" s="27">
        <v>4714000</v>
      </c>
      <c r="Y56" s="27">
        <f>+Y57+Y58</f>
        <v>926500</v>
      </c>
      <c r="Z56" s="27">
        <f>+Z57+Z58</f>
        <v>1473500</v>
      </c>
      <c r="AA56" s="27">
        <f>+AA57+AA58</f>
        <v>2022000</v>
      </c>
      <c r="AB56" s="27">
        <f>+AB57+AB58</f>
        <v>785500</v>
      </c>
      <c r="AC56" s="18">
        <f t="shared" si="4"/>
        <v>9921500</v>
      </c>
      <c r="AD56" s="55">
        <f t="shared" si="5"/>
        <v>9921500</v>
      </c>
      <c r="AE56" s="18">
        <f t="shared" si="5"/>
        <v>9921500</v>
      </c>
      <c r="AF56" s="19">
        <f t="shared" si="31"/>
        <v>45.097727272727276</v>
      </c>
    </row>
    <row r="57" spans="1:36" ht="15" customHeight="1" x14ac:dyDescent="0.25">
      <c r="A57" s="22"/>
      <c r="B57" s="22"/>
      <c r="C57" s="22">
        <v>142</v>
      </c>
      <c r="D57" s="22" t="s">
        <v>47</v>
      </c>
      <c r="E57" s="22">
        <v>30</v>
      </c>
      <c r="F57" s="22" t="s">
        <v>27</v>
      </c>
      <c r="G57" s="23" t="s">
        <v>91</v>
      </c>
      <c r="H57" s="24">
        <v>15000000</v>
      </c>
      <c r="I57" s="24">
        <v>0</v>
      </c>
      <c r="J57" s="24">
        <f>+H57+I57</f>
        <v>15000000</v>
      </c>
      <c r="K57" s="24">
        <f>81000+71000+43000+51000+31000+8000+20000+49500+25000+24800+53000+25000+80000+27600+13000+31500+35000+15000+23000+18000+46000+10000+10000+21000+28000+10000</f>
        <v>850400</v>
      </c>
      <c r="L57" s="24">
        <f>47000+43500+45500+36500+33000+18000+82500+13000+10000+20000+15000+86000+39000+218000+37500+2500+75000+21000+20000+20000+37500</f>
        <v>920500</v>
      </c>
      <c r="M57" s="24">
        <f>108000+80000+35000+5000+51500+49000+72500+62500+50500+57000+12500+54500+52000+30000+29000+90000+90000+44500+29000+5000+26500+30000+37500+38000+24000+71500+29500</f>
        <v>1264500</v>
      </c>
      <c r="N57" s="24">
        <f>207500+75000+39500+39500+97500+43000+27000+21500+111500+96500+40000+12500+33500+89500+11500+40000+66000+24500+8000</f>
        <v>1084000</v>
      </c>
      <c r="O57" s="24">
        <f t="shared" si="2"/>
        <v>4119400</v>
      </c>
      <c r="P57" s="24">
        <v>859500</v>
      </c>
      <c r="Q57" s="24">
        <f>33000+124000+40000+76500+27500+28000+79000+39000+92000+61000+30500+42500+110500+119500+129500+54500+65500+114000+166500+61500+37500+20000+136000+598500+255500</f>
        <v>2542000</v>
      </c>
      <c r="R57" s="24">
        <f>215500+201500+159000+46500+59500+41000+68000+52500+43500+40500+44500+68000+34500+148000+75500+22500+141000+119500+21500+35500+55500+20500+15000+20000</f>
        <v>1749000</v>
      </c>
      <c r="S57" s="24">
        <f>8000+18000+20000+84500+34500+30000+31500+57000+51000+6500+51500+31500+10000+10000+93000+17000+17500+9500+20000+2500+60000+7500</f>
        <v>671000</v>
      </c>
      <c r="T57" s="24">
        <f>48000+81000+82500+96000+8000+32000+35500+51000+50000+6000+76000+91500+25000+43000+29500+73000+8000+5000+70000+20000+26000+32000+20000+20000+25500</f>
        <v>1054500</v>
      </c>
      <c r="U57" s="24">
        <f>73000+31000+15000+20000+16000+31000+73000+107000+25500+65000+20000+55500+41000+33000+81500+5000+282000+24000+58000+24000+57500+20000</f>
        <v>1158000</v>
      </c>
      <c r="V57" s="24">
        <f>47500+54500+12500+33000+32500+90000+55000+52500+68000+47500+30000+31000+8000+30500+75500+119000+46500+21500+18000+40000+36500</f>
        <v>949500</v>
      </c>
      <c r="W57" s="24">
        <f>284500+239000+43000+72000+74000+38000+46000+54000+55500+118000+58500+16000+55000+57500+43000+79500+52500+25500+19000+35000+23000+28000+30500+5000</f>
        <v>1552000</v>
      </c>
      <c r="X57" s="24">
        <v>4714000</v>
      </c>
      <c r="Y57" s="24">
        <f>134000+33500+59000+47500+35000+33000+7500+21500+63500+10000+73500+41000+49500+2500+11500+25000+15000+16500+48000+81500+15000+40500+57500+5000</f>
        <v>926500</v>
      </c>
      <c r="Z57" s="24">
        <f>56500+21500+35500+26500+14000+11500+2500+252000+96000+38000+10000+13000+55500+86000+30500+76500+117000+7500+44500+73500+140000+265500</f>
        <v>1473500</v>
      </c>
      <c r="AA57" s="24">
        <f>600500+53000+25500+68500+54500+46000+98000+102000+45000+9500+72500+50000+39000+66000+59500+77500+17500+33000+56500+28000+21500+10000+26500+13000+37000+62000</f>
        <v>1772000</v>
      </c>
      <c r="AB57" s="24">
        <f>31500+18000+266500+13500+43000+45500+38500+39000+29500+33000+21500+7500+20000+8500+44500+16000+15500+10000+20000+20000+21500+16000+6500</f>
        <v>785500</v>
      </c>
      <c r="AC57" s="24">
        <f t="shared" si="4"/>
        <v>9671500</v>
      </c>
      <c r="AD57" s="56">
        <f t="shared" si="5"/>
        <v>9671500</v>
      </c>
      <c r="AE57" s="24">
        <f t="shared" si="5"/>
        <v>9671500</v>
      </c>
      <c r="AF57" s="26">
        <f t="shared" si="31"/>
        <v>64.476666666666674</v>
      </c>
    </row>
    <row r="58" spans="1:36" ht="14.25" customHeight="1" x14ac:dyDescent="0.25">
      <c r="A58" s="22"/>
      <c r="B58" s="22"/>
      <c r="C58" s="22">
        <v>142</v>
      </c>
      <c r="D58" s="22" t="s">
        <v>92</v>
      </c>
      <c r="E58" s="22">
        <v>30</v>
      </c>
      <c r="F58" s="22" t="s">
        <v>27</v>
      </c>
      <c r="G58" s="23" t="s">
        <v>93</v>
      </c>
      <c r="H58" s="24">
        <v>7000000</v>
      </c>
      <c r="I58" s="24">
        <v>0</v>
      </c>
      <c r="J58" s="24">
        <f>+H58+I58</f>
        <v>7000000</v>
      </c>
      <c r="K58" s="24">
        <v>200000</v>
      </c>
      <c r="L58" s="24"/>
      <c r="M58" s="24"/>
      <c r="N58" s="24">
        <v>0</v>
      </c>
      <c r="O58" s="24">
        <f>+K58+L58+M58+N58</f>
        <v>200000</v>
      </c>
      <c r="P58" s="24"/>
      <c r="Q58" s="24"/>
      <c r="R58" s="24">
        <v>0</v>
      </c>
      <c r="S58" s="24"/>
      <c r="T58" s="24"/>
      <c r="U58" s="24"/>
      <c r="V58" s="24"/>
      <c r="W58" s="24"/>
      <c r="X58" s="24">
        <v>0</v>
      </c>
      <c r="Y58" s="24">
        <v>0</v>
      </c>
      <c r="Z58" s="24"/>
      <c r="AA58" s="24">
        <v>250000</v>
      </c>
      <c r="AB58" s="24"/>
      <c r="AC58" s="24">
        <f t="shared" si="4"/>
        <v>250000</v>
      </c>
      <c r="AD58" s="56">
        <f t="shared" si="5"/>
        <v>250000</v>
      </c>
      <c r="AE58" s="24">
        <f t="shared" si="5"/>
        <v>250000</v>
      </c>
      <c r="AF58" s="26">
        <f t="shared" si="31"/>
        <v>3.5714285714285716</v>
      </c>
    </row>
    <row r="59" spans="1:36" s="14" customFormat="1" ht="15" customHeight="1" x14ac:dyDescent="0.35">
      <c r="A59" s="16"/>
      <c r="B59" s="16">
        <v>150</v>
      </c>
      <c r="C59" s="16"/>
      <c r="D59" s="16"/>
      <c r="E59" s="16"/>
      <c r="F59" s="16"/>
      <c r="G59" s="17" t="s">
        <v>94</v>
      </c>
      <c r="H59" s="27">
        <f t="shared" ref="H59:N59" si="44">+H60+H64</f>
        <v>1191833719</v>
      </c>
      <c r="I59" s="27">
        <f t="shared" si="44"/>
        <v>625000000</v>
      </c>
      <c r="J59" s="27">
        <f t="shared" si="44"/>
        <v>1816833719</v>
      </c>
      <c r="K59" s="27">
        <f t="shared" si="44"/>
        <v>0</v>
      </c>
      <c r="L59" s="27">
        <f t="shared" si="44"/>
        <v>0</v>
      </c>
      <c r="M59" s="27">
        <f t="shared" si="44"/>
        <v>455448803</v>
      </c>
      <c r="N59" s="27">
        <f t="shared" si="44"/>
        <v>108821145</v>
      </c>
      <c r="O59" s="18">
        <f t="shared" si="2"/>
        <v>564269948</v>
      </c>
      <c r="P59" s="27">
        <f t="shared" ref="P59:Q59" si="45">+P60+P64</f>
        <v>14502828</v>
      </c>
      <c r="Q59" s="27">
        <f t="shared" si="45"/>
        <v>0</v>
      </c>
      <c r="R59" s="27">
        <f>+R60+R64</f>
        <v>0</v>
      </c>
      <c r="S59" s="27">
        <f>+S60+S64</f>
        <v>0</v>
      </c>
      <c r="T59" s="27">
        <f t="shared" ref="T59" si="46">+T60+T64</f>
        <v>415861980</v>
      </c>
      <c r="U59" s="27">
        <f t="shared" ref="U59:W59" si="47">+U60+U64</f>
        <v>0</v>
      </c>
      <c r="V59" s="27">
        <f t="shared" si="47"/>
        <v>0</v>
      </c>
      <c r="W59" s="27">
        <f t="shared" si="47"/>
        <v>342417459</v>
      </c>
      <c r="X59" s="27">
        <v>758279439</v>
      </c>
      <c r="Y59" s="27">
        <f>+Y60+Y64</f>
        <v>134220163</v>
      </c>
      <c r="Z59" s="27">
        <f>+Z60+Z64</f>
        <v>0</v>
      </c>
      <c r="AA59" s="27">
        <f>+AA60+AA64</f>
        <v>0</v>
      </c>
      <c r="AB59" s="27">
        <f>+AB60+AB64</f>
        <v>475444222</v>
      </c>
      <c r="AC59" s="18">
        <f t="shared" si="4"/>
        <v>1367943824</v>
      </c>
      <c r="AD59" s="55">
        <f t="shared" si="5"/>
        <v>1367943824</v>
      </c>
      <c r="AE59" s="18">
        <f t="shared" si="5"/>
        <v>1367943824</v>
      </c>
      <c r="AF59" s="19">
        <f t="shared" si="31"/>
        <v>75.292736462031726</v>
      </c>
      <c r="AG59" s="13"/>
    </row>
    <row r="60" spans="1:36" s="14" customFormat="1" ht="15" customHeight="1" x14ac:dyDescent="0.35">
      <c r="A60" s="28"/>
      <c r="B60" s="28"/>
      <c r="C60" s="16">
        <v>153</v>
      </c>
      <c r="D60" s="28"/>
      <c r="E60" s="28"/>
      <c r="F60" s="28"/>
      <c r="G60" s="17" t="s">
        <v>95</v>
      </c>
      <c r="H60" s="27">
        <f>+H61+H62+H63</f>
        <v>696733719</v>
      </c>
      <c r="I60" s="27">
        <f>+I62</f>
        <v>0</v>
      </c>
      <c r="J60" s="27">
        <f>+J61+J62+J63</f>
        <v>696733719</v>
      </c>
      <c r="K60" s="27">
        <f>+K61+K62+K63</f>
        <v>0</v>
      </c>
      <c r="L60" s="27">
        <f>+L62</f>
        <v>0</v>
      </c>
      <c r="M60" s="27">
        <f>+M61+M62+M63</f>
        <v>205802830</v>
      </c>
      <c r="N60" s="27">
        <f>+N61+N62+N63</f>
        <v>108821145</v>
      </c>
      <c r="O60" s="18">
        <f>+K60+L60+M60+N60</f>
        <v>314623975</v>
      </c>
      <c r="P60" s="27">
        <f>+P61+P62+P63</f>
        <v>14502828</v>
      </c>
      <c r="Q60" s="27">
        <f>+Q61+Q62+Q63</f>
        <v>0</v>
      </c>
      <c r="R60" s="27">
        <f>+R61+R62+R63</f>
        <v>0</v>
      </c>
      <c r="S60" s="27">
        <f>+S61+S62+S63</f>
        <v>0</v>
      </c>
      <c r="T60" s="27">
        <f>+T61+T62+T63</f>
        <v>77955445</v>
      </c>
      <c r="U60" s="27">
        <f t="shared" ref="U60:V60" si="48">+U61+U62+U63</f>
        <v>0</v>
      </c>
      <c r="V60" s="27">
        <f t="shared" si="48"/>
        <v>0</v>
      </c>
      <c r="W60" s="27">
        <f>+W61+W62+W63</f>
        <v>292680242</v>
      </c>
      <c r="X60" s="27">
        <v>370635687</v>
      </c>
      <c r="Y60" s="27">
        <f>+Y61+Y62+Y63</f>
        <v>0</v>
      </c>
      <c r="Z60" s="27">
        <f>+Z61+Z62+Z63</f>
        <v>0</v>
      </c>
      <c r="AA60" s="27">
        <f>+AA61+AA62+AA63</f>
        <v>0</v>
      </c>
      <c r="AB60" s="27">
        <f>+AB61+AB62+AB63</f>
        <v>180926299</v>
      </c>
      <c r="AC60" s="18">
        <f t="shared" si="4"/>
        <v>551561986</v>
      </c>
      <c r="AD60" s="55">
        <f t="shared" si="5"/>
        <v>551561986</v>
      </c>
      <c r="AE60" s="18">
        <f t="shared" si="5"/>
        <v>551561986</v>
      </c>
      <c r="AF60" s="19">
        <f t="shared" si="31"/>
        <v>79.163957615204779</v>
      </c>
      <c r="AG60" s="13"/>
    </row>
    <row r="61" spans="1:36" s="14" customFormat="1" ht="15" customHeight="1" x14ac:dyDescent="0.2">
      <c r="A61" s="28"/>
      <c r="B61" s="28"/>
      <c r="C61" s="22">
        <v>153</v>
      </c>
      <c r="D61" s="22" t="s">
        <v>96</v>
      </c>
      <c r="E61" s="22">
        <v>30</v>
      </c>
      <c r="F61" s="22" t="s">
        <v>29</v>
      </c>
      <c r="G61" s="23" t="s">
        <v>97</v>
      </c>
      <c r="H61" s="24">
        <v>273609962</v>
      </c>
      <c r="I61" s="24">
        <v>0</v>
      </c>
      <c r="J61" s="24">
        <f>+H61+I61</f>
        <v>273609962</v>
      </c>
      <c r="K61" s="24"/>
      <c r="L61" s="24"/>
      <c r="M61" s="24">
        <f>20480504+20611740+21060617+21067047</f>
        <v>83219908</v>
      </c>
      <c r="N61" s="24">
        <v>53996172</v>
      </c>
      <c r="O61" s="24">
        <f t="shared" si="2"/>
        <v>137216080</v>
      </c>
      <c r="P61" s="24">
        <v>0</v>
      </c>
      <c r="Q61" s="24"/>
      <c r="R61" s="24"/>
      <c r="S61" s="24"/>
      <c r="T61" s="24">
        <v>0</v>
      </c>
      <c r="U61" s="24">
        <v>0</v>
      </c>
      <c r="V61" s="24">
        <v>0</v>
      </c>
      <c r="W61" s="24">
        <f>99409833+20837017</f>
        <v>120246850</v>
      </c>
      <c r="X61" s="24">
        <v>120246850</v>
      </c>
      <c r="Y61" s="24">
        <v>0</v>
      </c>
      <c r="Z61" s="24"/>
      <c r="AA61" s="24"/>
      <c r="AB61" s="24">
        <v>81268461</v>
      </c>
      <c r="AC61" s="24">
        <f t="shared" si="4"/>
        <v>201515311</v>
      </c>
      <c r="AD61" s="56">
        <f t="shared" si="5"/>
        <v>201515311</v>
      </c>
      <c r="AE61" s="24">
        <f t="shared" si="5"/>
        <v>201515311</v>
      </c>
      <c r="AF61" s="26">
        <f t="shared" si="31"/>
        <v>73.650575266700272</v>
      </c>
      <c r="AG61" s="13"/>
    </row>
    <row r="62" spans="1:36" s="34" customFormat="1" ht="15" customHeight="1" x14ac:dyDescent="0.2">
      <c r="A62" s="29"/>
      <c r="B62" s="29"/>
      <c r="C62" s="29">
        <v>153</v>
      </c>
      <c r="D62" s="29" t="s">
        <v>98</v>
      </c>
      <c r="E62" s="29">
        <v>30</v>
      </c>
      <c r="F62" s="29" t="s">
        <v>37</v>
      </c>
      <c r="G62" s="30" t="s">
        <v>99</v>
      </c>
      <c r="H62" s="31">
        <v>109650000</v>
      </c>
      <c r="I62" s="31">
        <v>0</v>
      </c>
      <c r="J62" s="24">
        <f>+H62+I62</f>
        <v>109650000</v>
      </c>
      <c r="K62" s="31"/>
      <c r="L62" s="31"/>
      <c r="M62" s="31">
        <f>6596302+6852666</f>
        <v>13448968</v>
      </c>
      <c r="N62" s="31"/>
      <c r="O62" s="24">
        <f t="shared" si="2"/>
        <v>13448968</v>
      </c>
      <c r="P62" s="31">
        <v>14502828</v>
      </c>
      <c r="Q62" s="31"/>
      <c r="R62" s="31"/>
      <c r="S62" s="31"/>
      <c r="T62" s="31">
        <v>29869910</v>
      </c>
      <c r="U62" s="31">
        <v>0</v>
      </c>
      <c r="V62" s="31">
        <v>0</v>
      </c>
      <c r="W62" s="31">
        <f>14380160+7516484</f>
        <v>21896644</v>
      </c>
      <c r="X62" s="31">
        <v>51766554</v>
      </c>
      <c r="Y62" s="31">
        <v>0</v>
      </c>
      <c r="Z62" s="31"/>
      <c r="AA62" s="31"/>
      <c r="AB62" s="31">
        <v>21045751</v>
      </c>
      <c r="AC62" s="24">
        <f t="shared" si="4"/>
        <v>72812305</v>
      </c>
      <c r="AD62" s="56">
        <f t="shared" si="5"/>
        <v>72812305</v>
      </c>
      <c r="AE62" s="24">
        <f t="shared" si="5"/>
        <v>72812305</v>
      </c>
      <c r="AF62" s="26">
        <f t="shared" si="31"/>
        <v>66.404290925672598</v>
      </c>
      <c r="AG62" s="32"/>
      <c r="AH62" s="33"/>
      <c r="AI62" s="33"/>
      <c r="AJ62" s="33"/>
    </row>
    <row r="63" spans="1:36" s="34" customFormat="1" ht="15" customHeight="1" x14ac:dyDescent="0.2">
      <c r="A63" s="29"/>
      <c r="B63" s="29"/>
      <c r="C63" s="29">
        <v>153</v>
      </c>
      <c r="D63" s="29" t="s">
        <v>100</v>
      </c>
      <c r="E63" s="29">
        <v>30</v>
      </c>
      <c r="F63" s="29" t="s">
        <v>39</v>
      </c>
      <c r="G63" s="30" t="s">
        <v>101</v>
      </c>
      <c r="H63" s="31">
        <v>313473757</v>
      </c>
      <c r="I63" s="31">
        <v>0</v>
      </c>
      <c r="J63" s="31">
        <f>+H63</f>
        <v>313473757</v>
      </c>
      <c r="K63" s="31"/>
      <c r="L63" s="31"/>
      <c r="M63" s="31">
        <f>620425+43571513+50000878+14941138</f>
        <v>109133954</v>
      </c>
      <c r="N63" s="31">
        <f>21027905+33797068</f>
        <v>54824973</v>
      </c>
      <c r="O63" s="24">
        <f t="shared" si="2"/>
        <v>163958927</v>
      </c>
      <c r="P63" s="31">
        <v>0</v>
      </c>
      <c r="Q63" s="31"/>
      <c r="R63" s="31"/>
      <c r="S63" s="31"/>
      <c r="T63" s="31">
        <v>48085535</v>
      </c>
      <c r="U63" s="31">
        <v>0</v>
      </c>
      <c r="V63" s="31">
        <v>0</v>
      </c>
      <c r="W63" s="31">
        <f>128088868+22447880</f>
        <v>150536748</v>
      </c>
      <c r="X63" s="31">
        <v>198622283</v>
      </c>
      <c r="Y63" s="31">
        <v>0</v>
      </c>
      <c r="Z63" s="31"/>
      <c r="AA63" s="31"/>
      <c r="AB63" s="31">
        <v>78612087</v>
      </c>
      <c r="AC63" s="24">
        <f t="shared" si="4"/>
        <v>277234370</v>
      </c>
      <c r="AD63" s="56">
        <f t="shared" si="5"/>
        <v>277234370</v>
      </c>
      <c r="AE63" s="24">
        <f t="shared" si="5"/>
        <v>277234370</v>
      </c>
      <c r="AF63" s="26">
        <f t="shared" si="31"/>
        <v>88.439419188764816</v>
      </c>
      <c r="AG63" s="32"/>
      <c r="AH63" s="33"/>
      <c r="AI63" s="33"/>
      <c r="AJ63" s="33"/>
    </row>
    <row r="64" spans="1:36" s="14" customFormat="1" ht="15" customHeight="1" x14ac:dyDescent="0.35">
      <c r="A64" s="28"/>
      <c r="B64" s="28"/>
      <c r="C64" s="16">
        <v>154</v>
      </c>
      <c r="D64" s="28"/>
      <c r="E64" s="28"/>
      <c r="F64" s="28"/>
      <c r="G64" s="17" t="s">
        <v>102</v>
      </c>
      <c r="H64" s="27">
        <f t="shared" ref="H64:N64" si="49">+H65</f>
        <v>495100000</v>
      </c>
      <c r="I64" s="27">
        <f t="shared" si="49"/>
        <v>625000000</v>
      </c>
      <c r="J64" s="27">
        <f t="shared" si="49"/>
        <v>1120100000</v>
      </c>
      <c r="K64" s="27">
        <f t="shared" si="49"/>
        <v>0</v>
      </c>
      <c r="L64" s="27">
        <f t="shared" si="49"/>
        <v>0</v>
      </c>
      <c r="M64" s="27">
        <f t="shared" si="49"/>
        <v>249645973</v>
      </c>
      <c r="N64" s="27">
        <f t="shared" si="49"/>
        <v>0</v>
      </c>
      <c r="O64" s="18">
        <f t="shared" si="2"/>
        <v>249645973</v>
      </c>
      <c r="P64" s="27">
        <f t="shared" ref="P64:Q64" si="50">+P65</f>
        <v>0</v>
      </c>
      <c r="Q64" s="27">
        <f t="shared" si="50"/>
        <v>0</v>
      </c>
      <c r="R64" s="27">
        <f>+R65</f>
        <v>0</v>
      </c>
      <c r="S64" s="27">
        <f>+S65</f>
        <v>0</v>
      </c>
      <c r="T64" s="27">
        <f t="shared" ref="T64:W64" si="51">+T65</f>
        <v>337906535</v>
      </c>
      <c r="U64" s="27">
        <f t="shared" si="51"/>
        <v>0</v>
      </c>
      <c r="V64" s="27">
        <f>+V65</f>
        <v>0</v>
      </c>
      <c r="W64" s="27">
        <f t="shared" si="51"/>
        <v>49737217</v>
      </c>
      <c r="X64" s="27">
        <v>387643752</v>
      </c>
      <c r="Y64" s="27">
        <f>+Y65</f>
        <v>134220163</v>
      </c>
      <c r="Z64" s="27">
        <f>+Z65</f>
        <v>0</v>
      </c>
      <c r="AA64" s="27">
        <f>+AA65</f>
        <v>0</v>
      </c>
      <c r="AB64" s="27">
        <f>+AB65</f>
        <v>294517923</v>
      </c>
      <c r="AC64" s="18">
        <f t="shared" si="4"/>
        <v>816381838</v>
      </c>
      <c r="AD64" s="55">
        <f t="shared" si="5"/>
        <v>816381838</v>
      </c>
      <c r="AE64" s="18">
        <f t="shared" si="5"/>
        <v>816381838</v>
      </c>
      <c r="AF64" s="19">
        <f t="shared" si="31"/>
        <v>72.884727970716895</v>
      </c>
      <c r="AG64" s="13"/>
    </row>
    <row r="65" spans="1:33" s="36" customFormat="1" ht="15" customHeight="1" x14ac:dyDescent="0.2">
      <c r="A65" s="22"/>
      <c r="B65" s="22"/>
      <c r="C65" s="22">
        <v>154</v>
      </c>
      <c r="D65" s="22" t="s">
        <v>103</v>
      </c>
      <c r="E65" s="22">
        <v>30</v>
      </c>
      <c r="F65" s="22" t="s">
        <v>60</v>
      </c>
      <c r="G65" s="35" t="s">
        <v>104</v>
      </c>
      <c r="H65" s="24">
        <v>495100000</v>
      </c>
      <c r="I65" s="24">
        <f>275000000+350000000</f>
        <v>625000000</v>
      </c>
      <c r="J65" s="24">
        <f>+H65+I65</f>
        <v>1120100000</v>
      </c>
      <c r="K65" s="24"/>
      <c r="L65" s="24"/>
      <c r="M65" s="24">
        <f>214567773+35078200</f>
        <v>249645973</v>
      </c>
      <c r="N65" s="24"/>
      <c r="O65" s="24">
        <f t="shared" si="2"/>
        <v>249645973</v>
      </c>
      <c r="P65" s="24"/>
      <c r="Q65" s="24"/>
      <c r="R65" s="24"/>
      <c r="S65" s="24"/>
      <c r="T65" s="24">
        <v>337906535</v>
      </c>
      <c r="U65" s="24"/>
      <c r="V65" s="24"/>
      <c r="W65" s="24">
        <v>49737217</v>
      </c>
      <c r="X65" s="24">
        <v>387643752</v>
      </c>
      <c r="Y65" s="24">
        <v>134220163</v>
      </c>
      <c r="Z65" s="24"/>
      <c r="AA65" s="24"/>
      <c r="AB65" s="24">
        <v>294517923</v>
      </c>
      <c r="AC65" s="18">
        <f t="shared" si="4"/>
        <v>816381838</v>
      </c>
      <c r="AD65" s="56">
        <f t="shared" si="5"/>
        <v>816381838</v>
      </c>
      <c r="AE65" s="24">
        <f t="shared" si="5"/>
        <v>816381838</v>
      </c>
      <c r="AF65" s="26">
        <f t="shared" si="31"/>
        <v>72.884727970716895</v>
      </c>
      <c r="AG65" s="3"/>
    </row>
    <row r="66" spans="1:33" s="14" customFormat="1" ht="15" customHeight="1" x14ac:dyDescent="0.2">
      <c r="A66" s="28"/>
      <c r="B66" s="16">
        <v>160</v>
      </c>
      <c r="C66" s="28"/>
      <c r="D66" s="28"/>
      <c r="E66" s="28"/>
      <c r="F66" s="28"/>
      <c r="G66" s="17" t="s">
        <v>105</v>
      </c>
      <c r="H66" s="18">
        <f t="shared" ref="H66:N66" si="52">+H67</f>
        <v>73500000</v>
      </c>
      <c r="I66" s="18">
        <f t="shared" si="52"/>
        <v>0</v>
      </c>
      <c r="J66" s="18">
        <f t="shared" si="52"/>
        <v>73500000</v>
      </c>
      <c r="K66" s="18">
        <f t="shared" si="52"/>
        <v>3849400</v>
      </c>
      <c r="L66" s="18">
        <f t="shared" si="52"/>
        <v>2405480</v>
      </c>
      <c r="M66" s="18">
        <f t="shared" si="52"/>
        <v>3357120</v>
      </c>
      <c r="N66" s="18">
        <f t="shared" si="52"/>
        <v>1626950</v>
      </c>
      <c r="O66" s="18">
        <f t="shared" si="2"/>
        <v>11238950</v>
      </c>
      <c r="P66" s="18">
        <f t="shared" ref="P66:Q66" si="53">+P67</f>
        <v>3205640</v>
      </c>
      <c r="Q66" s="18">
        <f t="shared" si="53"/>
        <v>2018800</v>
      </c>
      <c r="R66" s="18">
        <f>+R67</f>
        <v>2487300</v>
      </c>
      <c r="S66" s="18">
        <f>+S67</f>
        <v>1210000</v>
      </c>
      <c r="T66" s="18">
        <f t="shared" ref="T66:W66" si="54">+T67</f>
        <v>5201300</v>
      </c>
      <c r="U66" s="18">
        <f t="shared" si="54"/>
        <v>2981700</v>
      </c>
      <c r="V66" s="18">
        <f t="shared" si="54"/>
        <v>2760700</v>
      </c>
      <c r="W66" s="18">
        <f t="shared" si="54"/>
        <v>4094200</v>
      </c>
      <c r="X66" s="18">
        <v>15037900</v>
      </c>
      <c r="Y66" s="18">
        <f>+Y67</f>
        <v>1859300</v>
      </c>
      <c r="Z66" s="18">
        <f>+Z67</f>
        <v>1550620</v>
      </c>
      <c r="AA66" s="18">
        <f>+AA67</f>
        <v>1505000</v>
      </c>
      <c r="AB66" s="18">
        <f>+AB67</f>
        <v>2514500</v>
      </c>
      <c r="AC66" s="18">
        <f t="shared" si="4"/>
        <v>22467320</v>
      </c>
      <c r="AD66" s="55">
        <f t="shared" si="5"/>
        <v>22467320</v>
      </c>
      <c r="AE66" s="18">
        <f t="shared" si="5"/>
        <v>22467320</v>
      </c>
      <c r="AF66" s="19">
        <f t="shared" si="31"/>
        <v>30.567782312925171</v>
      </c>
      <c r="AG66" s="13"/>
    </row>
    <row r="67" spans="1:33" s="14" customFormat="1" ht="15" customHeight="1" x14ac:dyDescent="0.35">
      <c r="A67" s="28"/>
      <c r="B67" s="28"/>
      <c r="C67" s="16">
        <v>163</v>
      </c>
      <c r="D67" s="28"/>
      <c r="E67" s="28"/>
      <c r="F67" s="28"/>
      <c r="G67" s="17" t="s">
        <v>106</v>
      </c>
      <c r="H67" s="27">
        <f t="shared" ref="H67:M67" si="55">SUM(H68:H77)</f>
        <v>73500000</v>
      </c>
      <c r="I67" s="27">
        <f t="shared" si="55"/>
        <v>0</v>
      </c>
      <c r="J67" s="27">
        <f t="shared" si="55"/>
        <v>73500000</v>
      </c>
      <c r="K67" s="27">
        <f t="shared" si="55"/>
        <v>3849400</v>
      </c>
      <c r="L67" s="27">
        <f t="shared" si="55"/>
        <v>2405480</v>
      </c>
      <c r="M67" s="27">
        <f t="shared" si="55"/>
        <v>3357120</v>
      </c>
      <c r="N67" s="27">
        <f>+N68+N69+N70+N71+N72+N73+N75+N76+N77</f>
        <v>1626950</v>
      </c>
      <c r="O67" s="18">
        <f t="shared" si="2"/>
        <v>11238950</v>
      </c>
      <c r="P67" s="27">
        <f>+P68+P69+P70+P71+P72+P73+P74+P75+P76+P77</f>
        <v>3205640</v>
      </c>
      <c r="Q67" s="27">
        <f>SUM(Q68:Q77)</f>
        <v>2018800</v>
      </c>
      <c r="R67" s="27">
        <f>+R68+R69+R70+R71+R72+R73+R75+R76+R77</f>
        <v>2487300</v>
      </c>
      <c r="S67" s="27">
        <f>+S68+S69+S70+S71+S72+S73+S75+S76+S77</f>
        <v>1210000</v>
      </c>
      <c r="T67" s="27">
        <f>+T68+T69+T70+T71+T72+T73+T74+T75+T76+T77</f>
        <v>5201300</v>
      </c>
      <c r="U67" s="27">
        <f t="shared" ref="U67:W67" si="56">+U68+U69+U70+U71+U72+U73+U74+U75+U76+U77</f>
        <v>2981700</v>
      </c>
      <c r="V67" s="27">
        <f t="shared" si="56"/>
        <v>2760700</v>
      </c>
      <c r="W67" s="27">
        <f t="shared" si="56"/>
        <v>4094200</v>
      </c>
      <c r="X67" s="27">
        <v>15037900</v>
      </c>
      <c r="Y67" s="27">
        <f>+Y68+Y69+Y70+Y71+Y72+Y73+Y74+Y75+Y76+Y77</f>
        <v>1859300</v>
      </c>
      <c r="Z67" s="27">
        <f>+Z68+Z69+Z70+Z71+Z72+Z73+Z74+Z75+Z76+Z77</f>
        <v>1550620</v>
      </c>
      <c r="AA67" s="27">
        <f>+AA68+AA69+AA70+AA71+AA72+AA73+AA74+AA75+AA76+AA77</f>
        <v>1505000</v>
      </c>
      <c r="AB67" s="27">
        <f>+AB68+AB69+AB70+AB71+AB72+AB73+AB74+AB75+AB76+AB77</f>
        <v>2514500</v>
      </c>
      <c r="AC67" s="18">
        <f>+X67+Y67+Z67+AA67+AB67</f>
        <v>22467320</v>
      </c>
      <c r="AD67" s="55">
        <f t="shared" si="5"/>
        <v>22467320</v>
      </c>
      <c r="AE67" s="18">
        <f t="shared" si="5"/>
        <v>22467320</v>
      </c>
      <c r="AF67" s="19">
        <f t="shared" si="31"/>
        <v>30.567782312925171</v>
      </c>
      <c r="AG67" s="13"/>
    </row>
    <row r="68" spans="1:33" s="36" customFormat="1" ht="15" customHeight="1" x14ac:dyDescent="0.2">
      <c r="A68" s="22"/>
      <c r="B68" s="22"/>
      <c r="C68" s="22">
        <v>163</v>
      </c>
      <c r="D68" s="22" t="s">
        <v>86</v>
      </c>
      <c r="E68" s="22">
        <v>30</v>
      </c>
      <c r="F68" s="22" t="s">
        <v>27</v>
      </c>
      <c r="G68" s="23" t="s">
        <v>107</v>
      </c>
      <c r="H68" s="24">
        <v>1500000</v>
      </c>
      <c r="I68" s="24">
        <v>0</v>
      </c>
      <c r="J68" s="24">
        <f t="shared" ref="J68:J77" si="57">+H68+I68</f>
        <v>1500000</v>
      </c>
      <c r="K68" s="24"/>
      <c r="L68" s="24">
        <v>227500</v>
      </c>
      <c r="M68" s="24">
        <v>108550</v>
      </c>
      <c r="N68" s="24"/>
      <c r="O68" s="24">
        <f t="shared" si="2"/>
        <v>336050</v>
      </c>
      <c r="P68" s="24"/>
      <c r="Q68" s="24"/>
      <c r="R68" s="24"/>
      <c r="S68" s="24">
        <v>221500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/>
      <c r="AA68" s="24"/>
      <c r="AB68" s="24"/>
      <c r="AC68" s="38">
        <f t="shared" si="4"/>
        <v>0</v>
      </c>
      <c r="AD68" s="56">
        <f t="shared" si="5"/>
        <v>0</v>
      </c>
      <c r="AE68" s="24">
        <f t="shared" si="5"/>
        <v>0</v>
      </c>
      <c r="AF68" s="26">
        <f t="shared" si="31"/>
        <v>0</v>
      </c>
      <c r="AG68" s="3"/>
    </row>
    <row r="69" spans="1:33" s="36" customFormat="1" ht="15" customHeight="1" x14ac:dyDescent="0.2">
      <c r="A69" s="22"/>
      <c r="B69" s="22"/>
      <c r="C69" s="22">
        <v>163</v>
      </c>
      <c r="D69" s="22" t="s">
        <v>39</v>
      </c>
      <c r="E69" s="22">
        <v>30</v>
      </c>
      <c r="F69" s="22" t="s">
        <v>27</v>
      </c>
      <c r="G69" s="23" t="s">
        <v>108</v>
      </c>
      <c r="H69" s="24">
        <v>3000000</v>
      </c>
      <c r="I69" s="24">
        <v>0</v>
      </c>
      <c r="J69" s="24">
        <f t="shared" si="57"/>
        <v>3000000</v>
      </c>
      <c r="K69" s="24"/>
      <c r="L69" s="24"/>
      <c r="M69" s="24"/>
      <c r="N69" s="24"/>
      <c r="O69" s="24">
        <f>+K69+L69+M69+N69</f>
        <v>0</v>
      </c>
      <c r="P69" s="24"/>
      <c r="Q69" s="24"/>
      <c r="R69" s="24"/>
      <c r="S69" s="24"/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/>
      <c r="AA69" s="24"/>
      <c r="AB69" s="24"/>
      <c r="AC69" s="38">
        <f t="shared" si="4"/>
        <v>0</v>
      </c>
      <c r="AD69" s="56">
        <f t="shared" si="5"/>
        <v>0</v>
      </c>
      <c r="AE69" s="24">
        <f t="shared" si="5"/>
        <v>0</v>
      </c>
      <c r="AF69" s="26">
        <f t="shared" si="31"/>
        <v>0</v>
      </c>
      <c r="AG69" s="3"/>
    </row>
    <row r="70" spans="1:33" s="36" customFormat="1" ht="15" customHeight="1" x14ac:dyDescent="0.2">
      <c r="A70" s="22"/>
      <c r="B70" s="22"/>
      <c r="C70" s="22">
        <v>163</v>
      </c>
      <c r="D70" s="22" t="s">
        <v>92</v>
      </c>
      <c r="E70" s="22">
        <v>30</v>
      </c>
      <c r="F70" s="22" t="s">
        <v>27</v>
      </c>
      <c r="G70" s="23" t="s">
        <v>109</v>
      </c>
      <c r="H70" s="24">
        <v>8000000</v>
      </c>
      <c r="I70" s="24">
        <v>0</v>
      </c>
      <c r="J70" s="24">
        <f t="shared" si="57"/>
        <v>8000000</v>
      </c>
      <c r="K70" s="24">
        <f>20000+20000+20000+20000+20000+20000+20000+20000+20000+20000+20000+20000+20000+20000+20000+20000+20000+20000+20000+20000+20000+20000+20000+20000+20000+20000</f>
        <v>520000</v>
      </c>
      <c r="L70" s="24">
        <f>15000+20000+20000+20000+20000+20000+20000+20000+20000+20000+20000+20000+20000+20000+20000+20000+20000+20000+20000+20000+20000+20000</f>
        <v>435000</v>
      </c>
      <c r="M70" s="24">
        <f>190000+20000+20000+20000+20000+15000+20000+20000+20000+20000+20000+20000+20000+20000+20000+20000+20000+20000</f>
        <v>525000</v>
      </c>
      <c r="N70" s="24">
        <f>20000+20000+20000+20000+15000+20000+20000+20000+20000+20000+20000+20000+20000+10000+20000+20000+20000+20000+20000+20000+20000</f>
        <v>405000</v>
      </c>
      <c r="O70" s="24">
        <f>+K70+L70+M70+N70</f>
        <v>1885000</v>
      </c>
      <c r="P70" s="24">
        <v>495000</v>
      </c>
      <c r="Q70" s="24">
        <f>15000+20000+20000+15000+20000+20000+20000+20000+20000+20000+20000+20000+20000+20000+20000+20000+20000+20000+20000+20000+20000+20000+20000</f>
        <v>450000</v>
      </c>
      <c r="R70" s="24">
        <f>20000+20000+20000+15000+20000+20000+20000+20000+20000+15000+20000+20000+20000+15000+20000+20000+20000+20000+20000+20000+20000+20000+20000+20000+20000</f>
        <v>485000</v>
      </c>
      <c r="S70" s="24">
        <f>20000+20000+20000+15000+20000+20000+20000+20000+20000+20000+20000+20000+20000+20000+20000+20000+20000+20000+20000+20000+20000+15000+20000+20000+20000</f>
        <v>490000</v>
      </c>
      <c r="T70" s="24">
        <f>20000+20000+20000+20000+20000+20000+20000+20000+15000+20000+20000+20000+20000+20000+20000+15000+20000+20000+10000+20000+20000+20000+20000+20000+20000+20000</f>
        <v>500000</v>
      </c>
      <c r="U70" s="24">
        <f>20000+20000+20000+20000+20000+20000+15000+20000+20000+20000+20000+20000+15000+20000+20000+20000+20000+20000+20000+20000+20000</f>
        <v>410000</v>
      </c>
      <c r="V70" s="24">
        <f>20000+20000+20000+20000+20000+20000+20000+20000+20000+20000+20000+15000+20000+20000+20000+20000+20000+15000+20000+20000+20000+20000</f>
        <v>430000</v>
      </c>
      <c r="W70" s="24">
        <f>20000+20000+20000+20000+20000+15000+20000+20000+20000+20000+20000+20000+20000+20000+15000+20000+20000+20000+20000+20000+20000+20000+20000</f>
        <v>450000</v>
      </c>
      <c r="X70" s="24">
        <v>1790000</v>
      </c>
      <c r="Y70" s="24">
        <f>20000+20000+20000+15000+20000+20000+15000+20000+20000+15000+20000+20000+20000+20000+20000+20000+20000+10000+15000+15000+15000+20000+20000+20000</f>
        <v>440000</v>
      </c>
      <c r="Z70" s="24">
        <f>20000+20000+20000+20000+15000+15000+20000+20000+20000+20000+20000+15000+20000+20000+20000+20000+20000+20000+20000+20000+20000+20000+15000+20000</f>
        <v>460000</v>
      </c>
      <c r="AA70" s="24">
        <f>20000+15000+20000+15000+20000+20000+20000+20000+20000+20000+15000+20000+20000+20000+20000+20000+20000+20000+15000+20000+20000+15000+20000+20000+20000+20000</f>
        <v>495000</v>
      </c>
      <c r="AB70" s="24">
        <f>20000+20000+20000+20000+20000+20000+20000+20000+20000+20000+20000+20000+20000+20000+20000+15000+20000+15000+20000+20000+15000+20000+20000</f>
        <v>445000</v>
      </c>
      <c r="AC70" s="38">
        <f t="shared" si="4"/>
        <v>3630000</v>
      </c>
      <c r="AD70" s="56">
        <f t="shared" si="5"/>
        <v>3630000</v>
      </c>
      <c r="AE70" s="24">
        <f t="shared" si="5"/>
        <v>3630000</v>
      </c>
      <c r="AF70" s="26">
        <f t="shared" si="31"/>
        <v>45.375</v>
      </c>
      <c r="AG70" s="3"/>
    </row>
    <row r="71" spans="1:33" s="36" customFormat="1" ht="15" customHeight="1" x14ac:dyDescent="0.2">
      <c r="A71" s="22"/>
      <c r="B71" s="22"/>
      <c r="C71" s="22">
        <v>163</v>
      </c>
      <c r="D71" s="22" t="s">
        <v>45</v>
      </c>
      <c r="E71" s="22">
        <v>30</v>
      </c>
      <c r="F71" s="22" t="s">
        <v>27</v>
      </c>
      <c r="G71" s="23" t="s">
        <v>110</v>
      </c>
      <c r="H71" s="24">
        <v>3000000</v>
      </c>
      <c r="I71" s="24">
        <v>0</v>
      </c>
      <c r="J71" s="24">
        <f t="shared" si="57"/>
        <v>3000000</v>
      </c>
      <c r="K71" s="24"/>
      <c r="L71" s="24"/>
      <c r="M71" s="24"/>
      <c r="N71" s="24"/>
      <c r="O71" s="24">
        <f t="shared" ref="O71:O78" si="58">+K71+L71+M71+N71</f>
        <v>0</v>
      </c>
      <c r="P71" s="24"/>
      <c r="Q71" s="24"/>
      <c r="R71" s="24"/>
      <c r="S71" s="24"/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/>
      <c r="AA71" s="24"/>
      <c r="AB71" s="24"/>
      <c r="AC71" s="38">
        <f t="shared" si="4"/>
        <v>0</v>
      </c>
      <c r="AD71" s="56">
        <f t="shared" si="5"/>
        <v>0</v>
      </c>
      <c r="AE71" s="24">
        <f t="shared" si="5"/>
        <v>0</v>
      </c>
      <c r="AF71" s="26">
        <f t="shared" si="31"/>
        <v>0</v>
      </c>
      <c r="AG71" s="3"/>
    </row>
    <row r="72" spans="1:33" s="36" customFormat="1" ht="15" customHeight="1" x14ac:dyDescent="0.2">
      <c r="A72" s="22"/>
      <c r="B72" s="22"/>
      <c r="C72" s="22">
        <v>163</v>
      </c>
      <c r="D72" s="22" t="s">
        <v>111</v>
      </c>
      <c r="E72" s="22">
        <v>30</v>
      </c>
      <c r="F72" s="22" t="s">
        <v>27</v>
      </c>
      <c r="G72" s="23" t="s">
        <v>112</v>
      </c>
      <c r="H72" s="24">
        <v>40000000</v>
      </c>
      <c r="I72" s="24">
        <v>0</v>
      </c>
      <c r="J72" s="24">
        <f t="shared" si="57"/>
        <v>40000000</v>
      </c>
      <c r="K72" s="24">
        <f>534500+98400+86500+183500+129900+109000+298500+171400+170000+85500+358400+84500+294500+162800+330000+47500</f>
        <v>3144900</v>
      </c>
      <c r="L72" s="24">
        <f>298000+69000+373320+85000+100500+238760+99100+263600+29200+42000+20000</f>
        <v>1618480</v>
      </c>
      <c r="M72" s="24">
        <f>106120+484750+72500+60000+339500+447680+129500+816020+87500+30000</f>
        <v>2573570</v>
      </c>
      <c r="N72" s="24">
        <f>348950+214000+189500+130000+155000</f>
        <v>1037450</v>
      </c>
      <c r="O72" s="24">
        <f t="shared" si="58"/>
        <v>8374400</v>
      </c>
      <c r="P72" s="24">
        <v>2586140</v>
      </c>
      <c r="Q72" s="24">
        <f>101800+294800+97300+84500+190000+201000+131400+109000+218000</f>
        <v>1427800</v>
      </c>
      <c r="R72" s="24">
        <f>85000+315000+172500+59500+154000+1073800</f>
        <v>1859800</v>
      </c>
      <c r="S72" s="24">
        <f>83000+85000+272000</f>
        <v>440000</v>
      </c>
      <c r="T72" s="24">
        <f>373300+715500+682600+289700+362200+77000+146000+403400+179500+117000+909600+310500+69000</f>
        <v>4635300</v>
      </c>
      <c r="U72" s="24">
        <f>84500+243700+329800+262800+74500+294500+166700+172600+86300+563500+124500+102300</f>
        <v>2505700</v>
      </c>
      <c r="V72" s="24">
        <f>173000+191200+407500+216000+322000+185700+125000+552300+88500+36500</f>
        <v>2297700</v>
      </c>
      <c r="W72" s="24">
        <f>126200+566600+113600+86500+61000+279500+233400+404300+491000+328000+238100+343500+69000+94500+159500</f>
        <v>3594700</v>
      </c>
      <c r="X72" s="24">
        <v>13033400</v>
      </c>
      <c r="Y72" s="24">
        <f>192000+69000+543200+115700+272900</f>
        <v>1192800</v>
      </c>
      <c r="Z72" s="24">
        <f>84500+85000+223500+352120+101000</f>
        <v>846120</v>
      </c>
      <c r="AA72" s="24">
        <v>138500</v>
      </c>
      <c r="AB72" s="24">
        <f>101000+834500+145000+116500+114000+126500+246500</f>
        <v>1684000</v>
      </c>
      <c r="AC72" s="38">
        <f t="shared" si="4"/>
        <v>16894820</v>
      </c>
      <c r="AD72" s="56">
        <f t="shared" si="5"/>
        <v>16894820</v>
      </c>
      <c r="AE72" s="24">
        <f t="shared" si="5"/>
        <v>16894820</v>
      </c>
      <c r="AF72" s="26">
        <f t="shared" si="31"/>
        <v>42.237050000000004</v>
      </c>
      <c r="AG72" s="3"/>
    </row>
    <row r="73" spans="1:33" s="36" customFormat="1" ht="15" customHeight="1" x14ac:dyDescent="0.2">
      <c r="A73" s="22"/>
      <c r="B73" s="22"/>
      <c r="C73" s="22">
        <v>163</v>
      </c>
      <c r="D73" s="22" t="s">
        <v>113</v>
      </c>
      <c r="E73" s="22">
        <v>30</v>
      </c>
      <c r="F73" s="22" t="s">
        <v>27</v>
      </c>
      <c r="G73" s="23" t="s">
        <v>114</v>
      </c>
      <c r="H73" s="24">
        <v>7000000</v>
      </c>
      <c r="I73" s="24">
        <v>0</v>
      </c>
      <c r="J73" s="24">
        <f t="shared" si="57"/>
        <v>7000000</v>
      </c>
      <c r="K73" s="24"/>
      <c r="L73" s="24"/>
      <c r="M73" s="24"/>
      <c r="N73" s="24"/>
      <c r="O73" s="24">
        <f t="shared" si="58"/>
        <v>0</v>
      </c>
      <c r="P73" s="24"/>
      <c r="Q73" s="24"/>
      <c r="R73" s="24"/>
      <c r="S73" s="24"/>
      <c r="T73" s="24">
        <v>0</v>
      </c>
      <c r="U73" s="24">
        <v>0</v>
      </c>
      <c r="V73" s="24"/>
      <c r="W73" s="24">
        <v>0</v>
      </c>
      <c r="X73" s="24">
        <v>0</v>
      </c>
      <c r="Y73" s="24">
        <v>0</v>
      </c>
      <c r="Z73" s="24"/>
      <c r="AA73" s="24"/>
      <c r="AB73" s="24"/>
      <c r="AC73" s="38">
        <f t="shared" si="4"/>
        <v>0</v>
      </c>
      <c r="AD73" s="56">
        <f t="shared" si="5"/>
        <v>0</v>
      </c>
      <c r="AE73" s="24">
        <f t="shared" si="5"/>
        <v>0</v>
      </c>
      <c r="AF73" s="26">
        <f t="shared" si="31"/>
        <v>0</v>
      </c>
      <c r="AG73" s="3"/>
    </row>
    <row r="74" spans="1:33" s="36" customFormat="1" ht="15" customHeight="1" x14ac:dyDescent="0.2">
      <c r="A74" s="22"/>
      <c r="B74" s="22"/>
      <c r="C74" s="22">
        <v>163</v>
      </c>
      <c r="D74" s="22" t="s">
        <v>68</v>
      </c>
      <c r="E74" s="22">
        <v>30</v>
      </c>
      <c r="F74" s="22" t="s">
        <v>27</v>
      </c>
      <c r="G74" s="23" t="s">
        <v>115</v>
      </c>
      <c r="H74" s="24">
        <v>4000000</v>
      </c>
      <c r="I74" s="24">
        <v>0</v>
      </c>
      <c r="J74" s="24">
        <f t="shared" si="57"/>
        <v>4000000</v>
      </c>
      <c r="K74" s="24"/>
      <c r="L74" s="24"/>
      <c r="M74" s="24"/>
      <c r="N74" s="24"/>
      <c r="O74" s="24">
        <f>+K74+L74+M74+N74</f>
        <v>0</v>
      </c>
      <c r="P74" s="24"/>
      <c r="Q74" s="24"/>
      <c r="R74" s="24"/>
      <c r="S74" s="24"/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/>
      <c r="AA74" s="24"/>
      <c r="AB74" s="24"/>
      <c r="AC74" s="38">
        <f t="shared" si="4"/>
        <v>0</v>
      </c>
      <c r="AD74" s="56">
        <f t="shared" si="5"/>
        <v>0</v>
      </c>
      <c r="AE74" s="24">
        <f t="shared" si="5"/>
        <v>0</v>
      </c>
      <c r="AF74" s="26">
        <f t="shared" si="31"/>
        <v>0</v>
      </c>
      <c r="AG74" s="3"/>
    </row>
    <row r="75" spans="1:33" s="36" customFormat="1" ht="15" customHeight="1" x14ac:dyDescent="0.2">
      <c r="A75" s="22"/>
      <c r="B75" s="22"/>
      <c r="C75" s="22">
        <v>163</v>
      </c>
      <c r="D75" s="22" t="s">
        <v>70</v>
      </c>
      <c r="E75" s="22">
        <v>30</v>
      </c>
      <c r="F75" s="22" t="s">
        <v>27</v>
      </c>
      <c r="G75" s="23" t="s">
        <v>116</v>
      </c>
      <c r="H75" s="24">
        <v>4000000</v>
      </c>
      <c r="I75" s="24">
        <v>0</v>
      </c>
      <c r="J75" s="24">
        <f t="shared" si="57"/>
        <v>4000000</v>
      </c>
      <c r="K75" s="24">
        <f>16500+16500+33000+51000+51000+16500</f>
        <v>184500</v>
      </c>
      <c r="L75" s="24">
        <f>16500+42000+16500+16500+16500+16500</f>
        <v>124500</v>
      </c>
      <c r="M75" s="24">
        <f>42000+16500+16500+33000+25500+16500</f>
        <v>150000</v>
      </c>
      <c r="N75" s="24">
        <f>25500+16500+16500+16500+16500+25500+51000+16500</f>
        <v>184500</v>
      </c>
      <c r="O75" s="24">
        <f t="shared" si="58"/>
        <v>643500</v>
      </c>
      <c r="P75" s="24">
        <v>124500</v>
      </c>
      <c r="Q75" s="24">
        <f>16500+16500+16500+16500+16500+25500+16500+16500</f>
        <v>141000</v>
      </c>
      <c r="R75" s="24">
        <f>16500+16500+51000+33000+25500</f>
        <v>142500</v>
      </c>
      <c r="S75" s="24">
        <f>16500+25500+16500</f>
        <v>58500</v>
      </c>
      <c r="T75" s="24">
        <f>16500+16500+16500+16500</f>
        <v>66000</v>
      </c>
      <c r="U75" s="24">
        <f>16500+16500+16500+16500</f>
        <v>66000</v>
      </c>
      <c r="V75" s="24">
        <f>16500+16500</f>
        <v>33000</v>
      </c>
      <c r="W75" s="24">
        <f>16500+16500+16500</f>
        <v>49500</v>
      </c>
      <c r="X75" s="24">
        <v>214500</v>
      </c>
      <c r="Y75" s="24">
        <f>49500+51000+25500+25500+16500+33000+25500</f>
        <v>226500</v>
      </c>
      <c r="Z75" s="24">
        <f>25500+42000+25500+25500+16500+16500+16500+76500</f>
        <v>244500</v>
      </c>
      <c r="AA75" s="24">
        <f>25500+25500+16500+42000+33000+33000+33000+16500+51000+25500+67500+51000+33000+67500+351000</f>
        <v>871500</v>
      </c>
      <c r="AB75" s="24">
        <f>25500+51000+51000+16500+42000+16500+33000+33000+16500+16500+42000+25500+16500</f>
        <v>385500</v>
      </c>
      <c r="AC75" s="38">
        <f t="shared" si="4"/>
        <v>1942500</v>
      </c>
      <c r="AD75" s="56">
        <f t="shared" si="5"/>
        <v>1942500</v>
      </c>
      <c r="AE75" s="24">
        <f t="shared" si="5"/>
        <v>1942500</v>
      </c>
      <c r="AF75" s="26">
        <f t="shared" si="31"/>
        <v>48.5625</v>
      </c>
      <c r="AG75" s="3"/>
    </row>
    <row r="76" spans="1:33" s="36" customFormat="1" ht="15" customHeight="1" x14ac:dyDescent="0.2">
      <c r="A76" s="22"/>
      <c r="B76" s="22"/>
      <c r="C76" s="22">
        <v>163</v>
      </c>
      <c r="D76" s="22" t="s">
        <v>55</v>
      </c>
      <c r="E76" s="22">
        <v>30</v>
      </c>
      <c r="F76" s="22" t="s">
        <v>27</v>
      </c>
      <c r="G76" s="23" t="s">
        <v>117</v>
      </c>
      <c r="H76" s="24">
        <v>1000000</v>
      </c>
      <c r="I76" s="24">
        <v>0</v>
      </c>
      <c r="J76" s="24">
        <f t="shared" si="57"/>
        <v>1000000</v>
      </c>
      <c r="K76" s="24"/>
      <c r="L76" s="24"/>
      <c r="M76" s="24"/>
      <c r="N76" s="24"/>
      <c r="O76" s="24">
        <f t="shared" si="58"/>
        <v>0</v>
      </c>
      <c r="P76" s="24"/>
      <c r="Q76" s="24"/>
      <c r="R76" s="24"/>
      <c r="S76" s="24"/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/>
      <c r="AA76" s="24"/>
      <c r="AB76" s="24"/>
      <c r="AC76" s="38">
        <f t="shared" si="4"/>
        <v>0</v>
      </c>
      <c r="AD76" s="56">
        <f t="shared" si="5"/>
        <v>0</v>
      </c>
      <c r="AE76" s="24">
        <f t="shared" si="5"/>
        <v>0</v>
      </c>
      <c r="AF76" s="26">
        <f t="shared" si="31"/>
        <v>0</v>
      </c>
      <c r="AG76" s="3"/>
    </row>
    <row r="77" spans="1:33" s="36" customFormat="1" ht="15" customHeight="1" x14ac:dyDescent="0.2">
      <c r="A77" s="22"/>
      <c r="B77" s="22"/>
      <c r="C77" s="22">
        <v>163</v>
      </c>
      <c r="D77" s="22" t="s">
        <v>118</v>
      </c>
      <c r="E77" s="22">
        <v>30</v>
      </c>
      <c r="F77" s="22" t="s">
        <v>27</v>
      </c>
      <c r="G77" s="23" t="s">
        <v>119</v>
      </c>
      <c r="H77" s="24">
        <v>2000000</v>
      </c>
      <c r="I77" s="24">
        <v>0</v>
      </c>
      <c r="J77" s="24">
        <f t="shared" si="57"/>
        <v>2000000</v>
      </c>
      <c r="K77" s="24"/>
      <c r="L77" s="24"/>
      <c r="M77" s="24"/>
      <c r="N77" s="24"/>
      <c r="O77" s="24">
        <f t="shared" si="58"/>
        <v>0</v>
      </c>
      <c r="P77" s="24"/>
      <c r="Q77" s="24"/>
      <c r="R77" s="24"/>
      <c r="S77" s="24"/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/>
      <c r="AA77" s="24"/>
      <c r="AB77" s="24"/>
      <c r="AC77" s="38">
        <f>+X77+Y77+Z77+AA77+AB77</f>
        <v>0</v>
      </c>
      <c r="AD77" s="56">
        <f t="shared" si="5"/>
        <v>0</v>
      </c>
      <c r="AE77" s="24">
        <f t="shared" si="5"/>
        <v>0</v>
      </c>
      <c r="AF77" s="26">
        <f t="shared" si="31"/>
        <v>0</v>
      </c>
      <c r="AG77" s="3"/>
    </row>
    <row r="78" spans="1:33" s="37" customFormat="1" ht="15" customHeight="1" x14ac:dyDescent="0.2">
      <c r="A78" s="16">
        <v>200</v>
      </c>
      <c r="B78" s="16"/>
      <c r="C78" s="16"/>
      <c r="D78" s="16"/>
      <c r="E78" s="16"/>
      <c r="F78" s="16"/>
      <c r="G78" s="17" t="s">
        <v>120</v>
      </c>
      <c r="H78" s="18">
        <f>+H79+H82</f>
        <v>1899218273</v>
      </c>
      <c r="I78" s="18">
        <v>175000000</v>
      </c>
      <c r="J78" s="18">
        <f>+J79+J82</f>
        <v>2074218273</v>
      </c>
      <c r="K78" s="18">
        <f>+K79+K82</f>
        <v>0</v>
      </c>
      <c r="L78" s="18">
        <f>+L79</f>
        <v>0</v>
      </c>
      <c r="M78" s="18">
        <v>581559158</v>
      </c>
      <c r="N78" s="18">
        <f>+N79+N82</f>
        <v>564590846</v>
      </c>
      <c r="O78" s="18">
        <f t="shared" si="58"/>
        <v>1146150004</v>
      </c>
      <c r="P78" s="18">
        <f>+P79+P82</f>
        <v>0</v>
      </c>
      <c r="Q78" s="18"/>
      <c r="R78" s="18">
        <f>+R79+R82</f>
        <v>0</v>
      </c>
      <c r="S78" s="18">
        <f>+S79+S82</f>
        <v>0</v>
      </c>
      <c r="T78" s="18">
        <f>+T79+T82</f>
        <v>285032351</v>
      </c>
      <c r="U78" s="18">
        <f t="shared" ref="U78:W78" si="59">+U79+U82</f>
        <v>0</v>
      </c>
      <c r="V78" s="18">
        <f t="shared" si="59"/>
        <v>0</v>
      </c>
      <c r="W78" s="18">
        <f t="shared" si="59"/>
        <v>792032757</v>
      </c>
      <c r="X78" s="18">
        <f>+X79+X82</f>
        <v>1075065108</v>
      </c>
      <c r="Y78" s="18">
        <v>0</v>
      </c>
      <c r="Z78" s="18">
        <f>+Z79+Z82</f>
        <v>48160611</v>
      </c>
      <c r="AA78" s="18">
        <f>+AA79</f>
        <v>0</v>
      </c>
      <c r="AB78" s="18">
        <f>+AB79+AB82</f>
        <v>455914149</v>
      </c>
      <c r="AC78" s="18">
        <f t="shared" si="4"/>
        <v>1579139868</v>
      </c>
      <c r="AD78" s="55">
        <f t="shared" si="5"/>
        <v>1579139868</v>
      </c>
      <c r="AE78" s="18">
        <f t="shared" si="5"/>
        <v>1579139868</v>
      </c>
      <c r="AF78" s="19">
        <f t="shared" si="31"/>
        <v>76.131807754062734</v>
      </c>
      <c r="AG78" s="15"/>
    </row>
    <row r="79" spans="1:33" s="37" customFormat="1" ht="15" customHeight="1" x14ac:dyDescent="0.2">
      <c r="A79" s="16"/>
      <c r="B79" s="16">
        <v>210</v>
      </c>
      <c r="C79" s="16"/>
      <c r="D79" s="16"/>
      <c r="E79" s="16"/>
      <c r="F79" s="16"/>
      <c r="G79" s="17" t="s">
        <v>121</v>
      </c>
      <c r="H79" s="18">
        <f>+H80</f>
        <v>6900000</v>
      </c>
      <c r="I79" s="18">
        <f t="shared" ref="I79:I80" si="60">+I80</f>
        <v>0</v>
      </c>
      <c r="J79" s="18">
        <f t="shared" ref="J79:M80" si="61">+J80</f>
        <v>6900000</v>
      </c>
      <c r="K79" s="18">
        <f t="shared" si="61"/>
        <v>0</v>
      </c>
      <c r="L79" s="18">
        <f t="shared" si="61"/>
        <v>0</v>
      </c>
      <c r="M79" s="18" t="str">
        <f t="shared" si="61"/>
        <v xml:space="preserve">    </v>
      </c>
      <c r="N79" s="18">
        <v>0</v>
      </c>
      <c r="O79" s="18">
        <v>0</v>
      </c>
      <c r="P79" s="18">
        <f>+P80</f>
        <v>0</v>
      </c>
      <c r="Q79" s="18">
        <f>+Q80</f>
        <v>0</v>
      </c>
      <c r="R79" s="18">
        <v>0</v>
      </c>
      <c r="S79" s="18">
        <v>0</v>
      </c>
      <c r="T79" s="18">
        <f>+T80</f>
        <v>2000000</v>
      </c>
      <c r="U79" s="18">
        <f t="shared" ref="U79:W80" si="62">+U80</f>
        <v>0</v>
      </c>
      <c r="V79" s="18">
        <f t="shared" si="62"/>
        <v>0</v>
      </c>
      <c r="W79" s="18">
        <f t="shared" si="62"/>
        <v>0</v>
      </c>
      <c r="X79" s="18">
        <v>0</v>
      </c>
      <c r="Y79" s="18">
        <v>0</v>
      </c>
      <c r="Z79" s="18">
        <f>+Z80</f>
        <v>0</v>
      </c>
      <c r="AA79" s="18">
        <f>+AA80</f>
        <v>0</v>
      </c>
      <c r="AB79" s="18">
        <f>+AB80</f>
        <v>0</v>
      </c>
      <c r="AC79" s="18">
        <f t="shared" si="4"/>
        <v>0</v>
      </c>
      <c r="AD79" s="55">
        <f t="shared" si="5"/>
        <v>0</v>
      </c>
      <c r="AE79" s="18">
        <f t="shared" si="5"/>
        <v>0</v>
      </c>
      <c r="AF79" s="19">
        <f t="shared" ref="AF79:AF86" si="63">+AC79*100/J79</f>
        <v>0</v>
      </c>
      <c r="AG79" s="15"/>
    </row>
    <row r="80" spans="1:33" s="14" customFormat="1" ht="15" customHeight="1" x14ac:dyDescent="0.35">
      <c r="A80" s="28"/>
      <c r="B80" s="28"/>
      <c r="C80" s="16">
        <v>211</v>
      </c>
      <c r="D80" s="28"/>
      <c r="E80" s="28"/>
      <c r="F80" s="28"/>
      <c r="G80" s="17" t="s">
        <v>122</v>
      </c>
      <c r="H80" s="27">
        <f>+H81</f>
        <v>6900000</v>
      </c>
      <c r="I80" s="27">
        <f t="shared" si="60"/>
        <v>0</v>
      </c>
      <c r="J80" s="27">
        <f t="shared" si="61"/>
        <v>6900000</v>
      </c>
      <c r="K80" s="27">
        <f t="shared" si="61"/>
        <v>0</v>
      </c>
      <c r="L80" s="27">
        <f t="shared" si="61"/>
        <v>0</v>
      </c>
      <c r="M80" s="27" t="str">
        <f t="shared" si="61"/>
        <v xml:space="preserve">    </v>
      </c>
      <c r="N80" s="27">
        <v>0</v>
      </c>
      <c r="O80" s="18">
        <v>0</v>
      </c>
      <c r="P80" s="27">
        <f>+P81</f>
        <v>0</v>
      </c>
      <c r="Q80" s="27">
        <f>+Q81</f>
        <v>0</v>
      </c>
      <c r="R80" s="27">
        <v>0</v>
      </c>
      <c r="S80" s="27"/>
      <c r="T80" s="27">
        <f>+T81</f>
        <v>2000000</v>
      </c>
      <c r="U80" s="27">
        <f t="shared" si="62"/>
        <v>0</v>
      </c>
      <c r="V80" s="27">
        <f t="shared" si="62"/>
        <v>0</v>
      </c>
      <c r="W80" s="27">
        <f>+W81</f>
        <v>0</v>
      </c>
      <c r="X80" s="27">
        <v>0</v>
      </c>
      <c r="Y80" s="27">
        <v>0</v>
      </c>
      <c r="Z80" s="27">
        <f>+Z81</f>
        <v>0</v>
      </c>
      <c r="AA80" s="27">
        <f>+AA81</f>
        <v>0</v>
      </c>
      <c r="AB80" s="27">
        <f>+AB81</f>
        <v>0</v>
      </c>
      <c r="AC80" s="18">
        <f t="shared" ref="AC80:AC84" si="64">+X80+Y80+Z80+AA80+AB80</f>
        <v>0</v>
      </c>
      <c r="AD80" s="55">
        <f t="shared" ref="AD80:AE86" si="65">+AC80</f>
        <v>0</v>
      </c>
      <c r="AE80" s="18">
        <f t="shared" si="65"/>
        <v>0</v>
      </c>
      <c r="AF80" s="19">
        <f t="shared" si="63"/>
        <v>0</v>
      </c>
      <c r="AG80" s="13"/>
    </row>
    <row r="81" spans="1:33" s="36" customFormat="1" ht="15" customHeight="1" x14ac:dyDescent="0.2">
      <c r="A81" s="22"/>
      <c r="B81" s="22"/>
      <c r="C81" s="22">
        <v>211</v>
      </c>
      <c r="D81" s="22" t="s">
        <v>86</v>
      </c>
      <c r="E81" s="22">
        <v>30</v>
      </c>
      <c r="F81" s="22" t="s">
        <v>27</v>
      </c>
      <c r="G81" s="23" t="s">
        <v>122</v>
      </c>
      <c r="H81" s="24">
        <v>6900000</v>
      </c>
      <c r="I81" s="24">
        <v>0</v>
      </c>
      <c r="J81" s="24">
        <f>+H81+I81</f>
        <v>6900000</v>
      </c>
      <c r="K81" s="24"/>
      <c r="L81" s="24"/>
      <c r="M81" s="38" t="s">
        <v>123</v>
      </c>
      <c r="N81" s="24"/>
      <c r="O81" s="24">
        <v>0</v>
      </c>
      <c r="P81" s="24">
        <v>0</v>
      </c>
      <c r="Q81" s="38">
        <v>0</v>
      </c>
      <c r="R81" s="24">
        <v>0</v>
      </c>
      <c r="S81" s="24"/>
      <c r="T81" s="24">
        <v>2000000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/>
      <c r="AA81" s="24">
        <v>0</v>
      </c>
      <c r="AB81" s="24">
        <v>0</v>
      </c>
      <c r="AC81" s="24">
        <f t="shared" si="64"/>
        <v>0</v>
      </c>
      <c r="AD81" s="56">
        <f t="shared" si="65"/>
        <v>0</v>
      </c>
      <c r="AE81" s="24">
        <f t="shared" si="65"/>
        <v>0</v>
      </c>
      <c r="AF81" s="19">
        <f t="shared" si="63"/>
        <v>0</v>
      </c>
      <c r="AG81" s="3"/>
    </row>
    <row r="82" spans="1:33" s="36" customFormat="1" ht="15" customHeight="1" x14ac:dyDescent="0.35">
      <c r="A82" s="22"/>
      <c r="B82" s="22">
        <v>220</v>
      </c>
      <c r="C82" s="22"/>
      <c r="D82" s="22"/>
      <c r="E82" s="22"/>
      <c r="F82" s="22"/>
      <c r="G82" s="17" t="s">
        <v>124</v>
      </c>
      <c r="H82" s="27">
        <f>+H83</f>
        <v>1892318273</v>
      </c>
      <c r="I82" s="24">
        <f>+I83</f>
        <v>175000000</v>
      </c>
      <c r="J82" s="27">
        <f>+J83</f>
        <v>2067318273</v>
      </c>
      <c r="K82" s="27">
        <f>+K83</f>
        <v>0</v>
      </c>
      <c r="L82" s="39">
        <v>0</v>
      </c>
      <c r="M82" s="27">
        <f>+M83</f>
        <v>1018094974</v>
      </c>
      <c r="N82" s="27">
        <f>+N83</f>
        <v>564590846</v>
      </c>
      <c r="O82" s="18">
        <f t="shared" ref="O82:O91" si="66">+K82+L82+M82+N82</f>
        <v>1582685820</v>
      </c>
      <c r="P82" s="39">
        <f>+P83</f>
        <v>0</v>
      </c>
      <c r="Q82" s="27">
        <f>+Q83</f>
        <v>0</v>
      </c>
      <c r="R82" s="27">
        <f>+R83</f>
        <v>0</v>
      </c>
      <c r="S82" s="27">
        <f>+S83</f>
        <v>0</v>
      </c>
      <c r="T82" s="39">
        <f>+T83</f>
        <v>283032351</v>
      </c>
      <c r="U82" s="39">
        <f t="shared" ref="U82:W82" si="67">+U83</f>
        <v>0</v>
      </c>
      <c r="V82" s="39">
        <f t="shared" si="67"/>
        <v>0</v>
      </c>
      <c r="W82" s="39">
        <f t="shared" si="67"/>
        <v>792032757</v>
      </c>
      <c r="X82" s="39">
        <v>1075065108</v>
      </c>
      <c r="Y82" s="39">
        <v>0</v>
      </c>
      <c r="Z82" s="39">
        <f>+Z83</f>
        <v>48160611</v>
      </c>
      <c r="AA82" s="27">
        <f t="shared" ref="AA82:AA84" si="68">+AA83</f>
        <v>0</v>
      </c>
      <c r="AB82" s="27">
        <f>+AB83</f>
        <v>455914149</v>
      </c>
      <c r="AC82" s="18">
        <f t="shared" si="64"/>
        <v>1579139868</v>
      </c>
      <c r="AD82" s="55">
        <f t="shared" si="65"/>
        <v>1579139868</v>
      </c>
      <c r="AE82" s="18">
        <f t="shared" si="65"/>
        <v>1579139868</v>
      </c>
      <c r="AF82" s="19">
        <f t="shared" si="63"/>
        <v>76.385909640726126</v>
      </c>
      <c r="AG82" s="3"/>
    </row>
    <row r="83" spans="1:33" s="36" customFormat="1" ht="15" customHeight="1" x14ac:dyDescent="0.35">
      <c r="A83" s="22"/>
      <c r="B83" s="22"/>
      <c r="C83" s="22">
        <v>223</v>
      </c>
      <c r="D83" s="22"/>
      <c r="E83" s="22"/>
      <c r="F83" s="22"/>
      <c r="G83" s="17" t="s">
        <v>125</v>
      </c>
      <c r="H83" s="27">
        <f>+H84+H86+H85</f>
        <v>1892318273</v>
      </c>
      <c r="I83" s="27">
        <f t="shared" ref="I83:W83" si="69">+I84+I86+I85</f>
        <v>175000000</v>
      </c>
      <c r="J83" s="27">
        <f t="shared" si="69"/>
        <v>2067318273</v>
      </c>
      <c r="K83" s="27">
        <f t="shared" si="69"/>
        <v>0</v>
      </c>
      <c r="L83" s="27">
        <f t="shared" si="69"/>
        <v>0</v>
      </c>
      <c r="M83" s="27">
        <f t="shared" si="69"/>
        <v>1018094974</v>
      </c>
      <c r="N83" s="27">
        <f t="shared" si="69"/>
        <v>564590846</v>
      </c>
      <c r="O83" s="27">
        <f t="shared" si="69"/>
        <v>1582685820</v>
      </c>
      <c r="P83" s="27">
        <f t="shared" si="69"/>
        <v>0</v>
      </c>
      <c r="Q83" s="27">
        <f t="shared" si="69"/>
        <v>0</v>
      </c>
      <c r="R83" s="27">
        <f t="shared" si="69"/>
        <v>0</v>
      </c>
      <c r="S83" s="27">
        <f t="shared" si="69"/>
        <v>0</v>
      </c>
      <c r="T83" s="27">
        <f t="shared" si="69"/>
        <v>283032351</v>
      </c>
      <c r="U83" s="27">
        <f t="shared" si="69"/>
        <v>0</v>
      </c>
      <c r="V83" s="27">
        <f t="shared" si="69"/>
        <v>0</v>
      </c>
      <c r="W83" s="27">
        <f t="shared" si="69"/>
        <v>792032757</v>
      </c>
      <c r="X83" s="27">
        <v>1075065108</v>
      </c>
      <c r="Y83" s="27">
        <v>0</v>
      </c>
      <c r="Z83" s="27">
        <f>+Z84+Z85+Z86</f>
        <v>48160611</v>
      </c>
      <c r="AA83" s="27">
        <f t="shared" si="68"/>
        <v>0</v>
      </c>
      <c r="AB83" s="27">
        <f>+AB84+AB85+AB86</f>
        <v>455914149</v>
      </c>
      <c r="AC83" s="18">
        <f t="shared" si="64"/>
        <v>1579139868</v>
      </c>
      <c r="AD83" s="55">
        <f t="shared" si="65"/>
        <v>1579139868</v>
      </c>
      <c r="AE83" s="18">
        <f t="shared" si="65"/>
        <v>1579139868</v>
      </c>
      <c r="AF83" s="19">
        <f t="shared" si="63"/>
        <v>76.385909640726126</v>
      </c>
      <c r="AG83" s="3"/>
    </row>
    <row r="84" spans="1:33" s="36" customFormat="1" ht="15" customHeight="1" x14ac:dyDescent="0.2">
      <c r="A84" s="22"/>
      <c r="B84" s="22"/>
      <c r="C84" s="22">
        <v>223</v>
      </c>
      <c r="D84" s="22" t="s">
        <v>96</v>
      </c>
      <c r="E84" s="22">
        <v>30</v>
      </c>
      <c r="F84" s="22" t="s">
        <v>29</v>
      </c>
      <c r="G84" s="23" t="s">
        <v>97</v>
      </c>
      <c r="H84" s="24">
        <v>638423245</v>
      </c>
      <c r="I84" s="24">
        <v>0</v>
      </c>
      <c r="J84" s="24">
        <f>+H84+I84</f>
        <v>638423245</v>
      </c>
      <c r="K84" s="24"/>
      <c r="L84" s="24"/>
      <c r="M84" s="24">
        <f>47787844+48094059+49141439</f>
        <v>145023342</v>
      </c>
      <c r="N84" s="24">
        <v>125991068</v>
      </c>
      <c r="O84" s="24">
        <f t="shared" si="66"/>
        <v>271014410</v>
      </c>
      <c r="P84" s="24">
        <v>0</v>
      </c>
      <c r="Q84" s="24"/>
      <c r="R84" s="24"/>
      <c r="S84" s="24"/>
      <c r="T84" s="24">
        <v>90690214</v>
      </c>
      <c r="U84" s="24">
        <v>0</v>
      </c>
      <c r="V84" s="24">
        <v>0</v>
      </c>
      <c r="W84" s="24">
        <f>141266063+48619705</f>
        <v>189885768</v>
      </c>
      <c r="X84" s="24">
        <v>280575982</v>
      </c>
      <c r="Y84" s="24">
        <v>0</v>
      </c>
      <c r="Z84" s="24">
        <v>48160611</v>
      </c>
      <c r="AA84" s="24">
        <f t="shared" si="68"/>
        <v>0</v>
      </c>
      <c r="AB84" s="24">
        <v>141465799</v>
      </c>
      <c r="AC84" s="24">
        <f t="shared" si="64"/>
        <v>470202392</v>
      </c>
      <c r="AD84" s="56">
        <f t="shared" si="65"/>
        <v>470202392</v>
      </c>
      <c r="AE84" s="24">
        <f t="shared" si="65"/>
        <v>470202392</v>
      </c>
      <c r="AF84" s="26">
        <f t="shared" si="63"/>
        <v>73.650575176033882</v>
      </c>
      <c r="AG84" s="3"/>
    </row>
    <row r="85" spans="1:33" s="36" customFormat="1" ht="15" customHeight="1" x14ac:dyDescent="0.2">
      <c r="A85" s="22"/>
      <c r="B85" s="22"/>
      <c r="C85" s="22">
        <v>223</v>
      </c>
      <c r="D85" s="22" t="s">
        <v>100</v>
      </c>
      <c r="E85" s="22">
        <v>30</v>
      </c>
      <c r="F85" s="22" t="s">
        <v>39</v>
      </c>
      <c r="G85" s="23" t="s">
        <v>101</v>
      </c>
      <c r="H85" s="24">
        <v>1253895028</v>
      </c>
      <c r="I85" s="24">
        <v>0</v>
      </c>
      <c r="J85" s="24">
        <f>+H85+I85</f>
        <v>1253895028</v>
      </c>
      <c r="K85" s="24"/>
      <c r="L85" s="24"/>
      <c r="M85" s="24">
        <f>2481699+174286053+200003511+59764553</f>
        <v>436535816</v>
      </c>
      <c r="N85" s="24">
        <f>84111619+135188270</f>
        <v>219299889</v>
      </c>
      <c r="O85" s="24">
        <f t="shared" ref="O85" si="70">+K85+L85+M85+N85</f>
        <v>655835705</v>
      </c>
      <c r="P85" s="24">
        <v>0</v>
      </c>
      <c r="Q85" s="24"/>
      <c r="R85" s="24"/>
      <c r="S85" s="24"/>
      <c r="T85" s="24">
        <v>192342137</v>
      </c>
      <c r="U85" s="24">
        <v>0</v>
      </c>
      <c r="V85" s="24">
        <v>0</v>
      </c>
      <c r="W85" s="24">
        <f>512355469+89791520</f>
        <v>602146989</v>
      </c>
      <c r="X85" s="24">
        <v>794489126</v>
      </c>
      <c r="Y85" s="24">
        <v>0</v>
      </c>
      <c r="Z85" s="24">
        <v>0</v>
      </c>
      <c r="AA85" s="24">
        <v>0</v>
      </c>
      <c r="AB85" s="24">
        <v>314448350</v>
      </c>
      <c r="AC85" s="24">
        <f>+X85+Y85+Z85+AA85+AB85</f>
        <v>1108937476</v>
      </c>
      <c r="AD85" s="56">
        <f t="shared" si="65"/>
        <v>1108937476</v>
      </c>
      <c r="AE85" s="24">
        <f t="shared" si="65"/>
        <v>1108937476</v>
      </c>
      <c r="AF85" s="26">
        <f t="shared" si="63"/>
        <v>88.439418869758853</v>
      </c>
      <c r="AG85" s="3"/>
    </row>
    <row r="86" spans="1:33" s="36" customFormat="1" ht="15" customHeight="1" x14ac:dyDescent="0.2">
      <c r="A86" s="22"/>
      <c r="B86" s="22"/>
      <c r="C86" s="22">
        <v>224</v>
      </c>
      <c r="D86" s="22" t="s">
        <v>86</v>
      </c>
      <c r="E86" s="22">
        <v>30</v>
      </c>
      <c r="F86" s="22" t="s">
        <v>60</v>
      </c>
      <c r="G86" s="35" t="s">
        <v>104</v>
      </c>
      <c r="H86" s="24">
        <v>0</v>
      </c>
      <c r="I86" s="24">
        <v>175000000</v>
      </c>
      <c r="J86" s="24">
        <f>+H86+I86</f>
        <v>175000000</v>
      </c>
      <c r="K86" s="24"/>
      <c r="L86" s="24"/>
      <c r="M86" s="24">
        <f>2481699+174286053+200003511+59764553</f>
        <v>436535816</v>
      </c>
      <c r="N86" s="24">
        <f>84111619+135188270</f>
        <v>219299889</v>
      </c>
      <c r="O86" s="24">
        <f t="shared" si="66"/>
        <v>655835705</v>
      </c>
      <c r="P86" s="24">
        <v>0</v>
      </c>
      <c r="Q86" s="24"/>
      <c r="R86" s="24"/>
      <c r="S86" s="24"/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f t="shared" ref="AC86:AC92" si="71">+X86+Y86+Z86+AA86+AB86</f>
        <v>0</v>
      </c>
      <c r="AD86" s="56">
        <f t="shared" si="65"/>
        <v>0</v>
      </c>
      <c r="AE86" s="24">
        <f t="shared" ref="AE86:AE92" si="72">+AD86</f>
        <v>0</v>
      </c>
      <c r="AF86" s="68">
        <f t="shared" si="63"/>
        <v>0</v>
      </c>
      <c r="AG86" s="3"/>
    </row>
    <row r="87" spans="1:33" s="37" customFormat="1" ht="15" customHeight="1" x14ac:dyDescent="0.35">
      <c r="A87" s="17">
        <v>300</v>
      </c>
      <c r="B87" s="16"/>
      <c r="C87" s="16"/>
      <c r="D87" s="17"/>
      <c r="E87" s="16"/>
      <c r="F87" s="17"/>
      <c r="G87" s="17" t="s">
        <v>126</v>
      </c>
      <c r="H87" s="18">
        <f>+H88</f>
        <v>0</v>
      </c>
      <c r="I87" s="18">
        <f t="shared" ref="I87:I88" si="73">+I88</f>
        <v>0</v>
      </c>
      <c r="J87" s="18">
        <f t="shared" ref="J87:Y88" si="74">+J88</f>
        <v>0</v>
      </c>
      <c r="K87" s="18">
        <f t="shared" si="74"/>
        <v>0</v>
      </c>
      <c r="L87" s="18">
        <f t="shared" si="74"/>
        <v>0</v>
      </c>
      <c r="M87" s="18">
        <f t="shared" si="74"/>
        <v>293463043</v>
      </c>
      <c r="N87" s="18">
        <f t="shared" si="74"/>
        <v>0</v>
      </c>
      <c r="O87" s="18">
        <f t="shared" si="74"/>
        <v>293463043</v>
      </c>
      <c r="P87" s="18">
        <f t="shared" si="74"/>
        <v>0</v>
      </c>
      <c r="Q87" s="18">
        <f t="shared" si="74"/>
        <v>0</v>
      </c>
      <c r="R87" s="18">
        <f t="shared" si="74"/>
        <v>0</v>
      </c>
      <c r="S87" s="18">
        <f t="shared" si="74"/>
        <v>0</v>
      </c>
      <c r="T87" s="18">
        <f t="shared" si="74"/>
        <v>0</v>
      </c>
      <c r="U87" s="18">
        <f t="shared" si="74"/>
        <v>0</v>
      </c>
      <c r="V87" s="18">
        <f t="shared" si="74"/>
        <v>0</v>
      </c>
      <c r="W87" s="18">
        <f t="shared" si="74"/>
        <v>0</v>
      </c>
      <c r="X87" s="18">
        <f>+X84+X85+X86</f>
        <v>1075065108</v>
      </c>
      <c r="Y87" s="18">
        <f t="shared" si="74"/>
        <v>0</v>
      </c>
      <c r="Z87" s="18">
        <f>+Z88</f>
        <v>0</v>
      </c>
      <c r="AA87" s="18">
        <f>+AA88</f>
        <v>0</v>
      </c>
      <c r="AB87" s="18">
        <f>+AB88</f>
        <v>0</v>
      </c>
      <c r="AC87" s="18">
        <f t="shared" si="71"/>
        <v>1075065108</v>
      </c>
      <c r="AD87" s="55">
        <f>+AD88</f>
        <v>661341903</v>
      </c>
      <c r="AE87" s="18">
        <f t="shared" si="72"/>
        <v>661341903</v>
      </c>
      <c r="AF87" s="57">
        <v>0</v>
      </c>
      <c r="AG87" s="15"/>
    </row>
    <row r="88" spans="1:33" s="37" customFormat="1" ht="15" customHeight="1" x14ac:dyDescent="0.35">
      <c r="A88" s="40"/>
      <c r="B88" s="16">
        <v>340</v>
      </c>
      <c r="C88" s="16"/>
      <c r="D88" s="17"/>
      <c r="E88" s="16"/>
      <c r="F88" s="17"/>
      <c r="G88" s="17" t="s">
        <v>127</v>
      </c>
      <c r="H88" s="18">
        <f>+H89</f>
        <v>0</v>
      </c>
      <c r="I88" s="18">
        <f t="shared" si="73"/>
        <v>0</v>
      </c>
      <c r="J88" s="18">
        <f t="shared" si="74"/>
        <v>0</v>
      </c>
      <c r="K88" s="18">
        <f t="shared" si="74"/>
        <v>0</v>
      </c>
      <c r="L88" s="18">
        <f t="shared" si="74"/>
        <v>0</v>
      </c>
      <c r="M88" s="18">
        <f t="shared" si="74"/>
        <v>293463043</v>
      </c>
      <c r="N88" s="18">
        <f t="shared" si="74"/>
        <v>0</v>
      </c>
      <c r="O88" s="18">
        <f t="shared" si="74"/>
        <v>293463043</v>
      </c>
      <c r="P88" s="18">
        <f t="shared" si="74"/>
        <v>0</v>
      </c>
      <c r="Q88" s="18">
        <f t="shared" si="74"/>
        <v>0</v>
      </c>
      <c r="R88" s="18">
        <f t="shared" si="74"/>
        <v>0</v>
      </c>
      <c r="S88" s="18">
        <f t="shared" si="74"/>
        <v>0</v>
      </c>
      <c r="T88" s="18">
        <f t="shared" si="74"/>
        <v>0</v>
      </c>
      <c r="U88" s="18">
        <f t="shared" si="74"/>
        <v>0</v>
      </c>
      <c r="V88" s="18">
        <f t="shared" si="74"/>
        <v>0</v>
      </c>
      <c r="W88" s="18">
        <f t="shared" si="74"/>
        <v>0</v>
      </c>
      <c r="X88" s="18">
        <f t="shared" si="74"/>
        <v>0</v>
      </c>
      <c r="Y88" s="18">
        <f t="shared" si="74"/>
        <v>0</v>
      </c>
      <c r="Z88" s="18">
        <f>+Z90</f>
        <v>0</v>
      </c>
      <c r="AA88" s="18">
        <f>+AA90</f>
        <v>0</v>
      </c>
      <c r="AB88" s="18">
        <f>+AB90</f>
        <v>0</v>
      </c>
      <c r="AC88" s="18">
        <f t="shared" si="71"/>
        <v>0</v>
      </c>
      <c r="AD88" s="55">
        <f>+AD89</f>
        <v>661341903</v>
      </c>
      <c r="AE88" s="18">
        <f t="shared" si="72"/>
        <v>661341903</v>
      </c>
      <c r="AF88" s="57">
        <v>0</v>
      </c>
      <c r="AG88" s="15"/>
    </row>
    <row r="89" spans="1:33" s="37" customFormat="1" ht="15" customHeight="1" x14ac:dyDescent="0.35">
      <c r="A89" s="40"/>
      <c r="B89" s="17"/>
      <c r="C89" s="16">
        <v>343</v>
      </c>
      <c r="D89" s="17"/>
      <c r="E89" s="16"/>
      <c r="F89" s="17"/>
      <c r="G89" s="17" t="s">
        <v>128</v>
      </c>
      <c r="H89" s="18">
        <f t="shared" ref="H89:Y89" si="75">+H92</f>
        <v>0</v>
      </c>
      <c r="I89" s="18">
        <f t="shared" si="75"/>
        <v>0</v>
      </c>
      <c r="J89" s="18">
        <f t="shared" si="75"/>
        <v>0</v>
      </c>
      <c r="K89" s="18">
        <f t="shared" si="75"/>
        <v>0</v>
      </c>
      <c r="L89" s="18">
        <f t="shared" si="75"/>
        <v>0</v>
      </c>
      <c r="M89" s="18">
        <f t="shared" si="75"/>
        <v>293463043</v>
      </c>
      <c r="N89" s="18">
        <f t="shared" si="75"/>
        <v>0</v>
      </c>
      <c r="O89" s="18">
        <f t="shared" si="75"/>
        <v>293463043</v>
      </c>
      <c r="P89" s="18">
        <f t="shared" si="75"/>
        <v>0</v>
      </c>
      <c r="Q89" s="18">
        <f t="shared" si="75"/>
        <v>0</v>
      </c>
      <c r="R89" s="18">
        <f t="shared" si="75"/>
        <v>0</v>
      </c>
      <c r="S89" s="18">
        <f t="shared" si="75"/>
        <v>0</v>
      </c>
      <c r="T89" s="18">
        <f t="shared" si="75"/>
        <v>0</v>
      </c>
      <c r="U89" s="18">
        <f t="shared" si="75"/>
        <v>0</v>
      </c>
      <c r="V89" s="18">
        <f t="shared" si="75"/>
        <v>0</v>
      </c>
      <c r="W89" s="18">
        <f t="shared" si="75"/>
        <v>0</v>
      </c>
      <c r="X89" s="18">
        <f t="shared" si="75"/>
        <v>0</v>
      </c>
      <c r="Y89" s="18">
        <f t="shared" si="75"/>
        <v>0</v>
      </c>
      <c r="Z89" s="18">
        <f>+Z90+Z91+Z92</f>
        <v>0</v>
      </c>
      <c r="AA89" s="18">
        <f>+AA90+AA91+AA92</f>
        <v>0</v>
      </c>
      <c r="AB89" s="18">
        <f>+AB90+AB91+AB92</f>
        <v>0</v>
      </c>
      <c r="AC89" s="18">
        <f t="shared" si="71"/>
        <v>0</v>
      </c>
      <c r="AD89" s="55">
        <f>+AD90+AD91+AD92</f>
        <v>661341903</v>
      </c>
      <c r="AE89" s="18">
        <f t="shared" si="72"/>
        <v>661341903</v>
      </c>
      <c r="AF89" s="57">
        <v>0</v>
      </c>
      <c r="AG89" s="15"/>
    </row>
    <row r="90" spans="1:33" s="37" customFormat="1" ht="15" customHeight="1" x14ac:dyDescent="0.2">
      <c r="A90" s="40"/>
      <c r="B90" s="17"/>
      <c r="C90" s="22">
        <v>343</v>
      </c>
      <c r="D90" s="23"/>
      <c r="E90" s="22">
        <v>30</v>
      </c>
      <c r="F90" s="23" t="s">
        <v>29</v>
      </c>
      <c r="G90" s="23" t="s">
        <v>129</v>
      </c>
      <c r="H90" s="18"/>
      <c r="I90" s="18">
        <v>0</v>
      </c>
      <c r="J90" s="18">
        <v>0</v>
      </c>
      <c r="K90" s="24">
        <v>0</v>
      </c>
      <c r="L90" s="18"/>
      <c r="M90" s="24">
        <v>656572778</v>
      </c>
      <c r="N90" s="18"/>
      <c r="O90" s="24">
        <f>+K90+L90+M90+N90</f>
        <v>656572778</v>
      </c>
      <c r="P90" s="24"/>
      <c r="Q90" s="24"/>
      <c r="R90" s="24"/>
      <c r="S90" s="24"/>
      <c r="T90" s="24"/>
      <c r="U90" s="24"/>
      <c r="V90" s="24"/>
      <c r="W90" s="24"/>
      <c r="X90" s="24">
        <v>0</v>
      </c>
      <c r="Y90" s="24">
        <v>0</v>
      </c>
      <c r="Z90" s="24">
        <v>0</v>
      </c>
      <c r="AA90" s="24"/>
      <c r="AB90" s="24"/>
      <c r="AC90" s="24">
        <f t="shared" si="71"/>
        <v>0</v>
      </c>
      <c r="AD90" s="56">
        <v>60463952</v>
      </c>
      <c r="AE90" s="24">
        <f t="shared" si="72"/>
        <v>60463952</v>
      </c>
      <c r="AF90" s="26">
        <v>0</v>
      </c>
      <c r="AG90" s="15"/>
    </row>
    <row r="91" spans="1:33" s="37" customFormat="1" ht="15" customHeight="1" x14ac:dyDescent="0.2">
      <c r="A91" s="40"/>
      <c r="B91" s="17"/>
      <c r="C91" s="22">
        <v>343</v>
      </c>
      <c r="D91" s="23"/>
      <c r="E91" s="22">
        <v>30</v>
      </c>
      <c r="F91" s="23" t="s">
        <v>60</v>
      </c>
      <c r="G91" s="23" t="s">
        <v>130</v>
      </c>
      <c r="H91" s="18"/>
      <c r="I91" s="18"/>
      <c r="J91" s="18">
        <v>0</v>
      </c>
      <c r="K91" s="24">
        <v>0</v>
      </c>
      <c r="L91" s="18"/>
      <c r="M91" s="24">
        <v>410383359</v>
      </c>
      <c r="N91" s="18"/>
      <c r="O91" s="24">
        <f t="shared" si="66"/>
        <v>410383359</v>
      </c>
      <c r="P91" s="24"/>
      <c r="Q91" s="24"/>
      <c r="R91" s="24"/>
      <c r="S91" s="24"/>
      <c r="T91" s="24"/>
      <c r="U91" s="24"/>
      <c r="V91" s="24"/>
      <c r="W91" s="24"/>
      <c r="X91" s="24">
        <v>0</v>
      </c>
      <c r="Y91" s="24">
        <v>0</v>
      </c>
      <c r="Z91" s="24">
        <v>0</v>
      </c>
      <c r="AA91" s="24"/>
      <c r="AB91" s="24"/>
      <c r="AC91" s="24">
        <f t="shared" si="71"/>
        <v>0</v>
      </c>
      <c r="AD91" s="56">
        <v>494264450</v>
      </c>
      <c r="AE91" s="24">
        <f t="shared" si="72"/>
        <v>494264450</v>
      </c>
      <c r="AF91" s="26">
        <v>0</v>
      </c>
      <c r="AG91" s="15"/>
    </row>
    <row r="92" spans="1:33" s="36" customFormat="1" ht="15" customHeight="1" x14ac:dyDescent="0.2">
      <c r="A92" s="41"/>
      <c r="B92" s="23"/>
      <c r="C92" s="22">
        <v>343</v>
      </c>
      <c r="D92" s="23"/>
      <c r="E92" s="22">
        <v>30</v>
      </c>
      <c r="F92" s="22" t="s">
        <v>39</v>
      </c>
      <c r="G92" s="23" t="s">
        <v>131</v>
      </c>
      <c r="H92" s="24">
        <v>0</v>
      </c>
      <c r="I92" s="24">
        <v>0</v>
      </c>
      <c r="J92" s="24">
        <v>0</v>
      </c>
      <c r="K92" s="24">
        <v>0</v>
      </c>
      <c r="L92" s="24"/>
      <c r="M92" s="24">
        <v>293463043</v>
      </c>
      <c r="N92" s="24"/>
      <c r="O92" s="24">
        <f>+K92+L92+M92+N92</f>
        <v>293463043</v>
      </c>
      <c r="P92" s="24"/>
      <c r="Q92" s="24"/>
      <c r="R92" s="24"/>
      <c r="S92" s="24"/>
      <c r="T92" s="24"/>
      <c r="U92" s="24"/>
      <c r="V92" s="24"/>
      <c r="W92" s="24"/>
      <c r="X92" s="24">
        <v>0</v>
      </c>
      <c r="Y92" s="24">
        <v>0</v>
      </c>
      <c r="Z92" s="24">
        <v>0</v>
      </c>
      <c r="AA92" s="24"/>
      <c r="AB92" s="24"/>
      <c r="AC92" s="24">
        <f t="shared" si="71"/>
        <v>0</v>
      </c>
      <c r="AD92" s="56">
        <v>106613501</v>
      </c>
      <c r="AE92" s="24">
        <f t="shared" si="72"/>
        <v>106613501</v>
      </c>
      <c r="AF92" s="26">
        <v>0</v>
      </c>
      <c r="AG92" s="3"/>
    </row>
    <row r="93" spans="1:33" ht="15" x14ac:dyDescent="0.25">
      <c r="A93" s="42" t="s">
        <v>132</v>
      </c>
      <c r="AF93" s="43"/>
    </row>
    <row r="94" spans="1:33" ht="16.5" x14ac:dyDescent="0.25">
      <c r="A94" s="36"/>
      <c r="B94" s="44"/>
      <c r="C94" s="45"/>
      <c r="D94" s="3"/>
      <c r="E94" s="3"/>
      <c r="F94" s="3"/>
      <c r="G94" s="36"/>
      <c r="AD94" s="53"/>
      <c r="AF94" s="46"/>
    </row>
    <row r="95" spans="1:33" ht="15" x14ac:dyDescent="0.25">
      <c r="A95" s="36"/>
      <c r="B95" s="44"/>
      <c r="C95" s="14"/>
      <c r="D95" s="13"/>
      <c r="E95" s="13"/>
      <c r="F95" s="13"/>
      <c r="G95" s="36"/>
    </row>
    <row r="96" spans="1:33" x14ac:dyDescent="0.25">
      <c r="A96" s="36"/>
      <c r="B96" s="36"/>
      <c r="C96" s="36"/>
      <c r="D96" s="36"/>
      <c r="E96" s="36"/>
      <c r="F96" s="36"/>
      <c r="G96" s="3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1:2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</sheetData>
  <mergeCells count="16">
    <mergeCell ref="J13:J14"/>
    <mergeCell ref="AD13:AD14"/>
    <mergeCell ref="AE13:AE14"/>
    <mergeCell ref="AF13:AF14"/>
    <mergeCell ref="A7:AF7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C13:AC14"/>
    <mergeCell ref="X13:X14"/>
  </mergeCells>
  <pageMargins left="0" right="0.23622047244094491" top="0.78740157480314965" bottom="0.78740157480314965" header="0" footer="0"/>
  <pageSetup paperSize="5" scale="55" fitToHeight="100" orientation="landscape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266700</xdr:colOff>
                <xdr:row>0</xdr:row>
                <xdr:rowOff>0</xdr:rowOff>
              </from>
              <to>
                <xdr:col>10</xdr:col>
                <xdr:colOff>0</xdr:colOff>
                <xdr:row>5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B-06-03 </vt:lpstr>
      <vt:lpstr>'B-06-03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2018-09-06T12:02:57Z</cp:lastPrinted>
  <dcterms:created xsi:type="dcterms:W3CDTF">2017-07-15T19:07:41Z</dcterms:created>
  <dcterms:modified xsi:type="dcterms:W3CDTF">2018-09-21T14:29:56Z</dcterms:modified>
</cp:coreProperties>
</file>